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DieseArbeitsmappe" defaultThemeVersion="124226"/>
  <mc:AlternateContent xmlns:mc="http://schemas.openxmlformats.org/markup-compatibility/2006">
    <mc:Choice Requires="x15">
      <x15ac:absPath xmlns:x15ac="http://schemas.microsoft.com/office/spreadsheetml/2010/11/ac" url="\\a76a-cfs-user.infra.be.ch\a76a-cfs-user\UserHomes\mow6\Z_Systems\RedirectedFolders\Desktop\"/>
    </mc:Choice>
  </mc:AlternateContent>
  <xr:revisionPtr revIDLastSave="0" documentId="13_ncr:1_{16001BFE-DDB9-451B-BCB1-0B4A4DDA1200}" xr6:coauthVersionLast="47" xr6:coauthVersionMax="47" xr10:uidLastSave="{00000000-0000-0000-0000-000000000000}"/>
  <workbookProtection workbookPassword="EED2" lockStructure="1"/>
  <bookViews>
    <workbookView xWindow="-120" yWindow="-120" windowWidth="29040" windowHeight="15840" xr2:uid="{00000000-000D-0000-FFFF-FFFF00000000}"/>
  </bookViews>
  <sheets>
    <sheet name="Eingabe und Berechnungen TS,DB" sheetId="1" r:id="rId1"/>
    <sheet name="Beurteilung_Matrix_intern" sheetId="14" r:id="rId2"/>
    <sheet name="DB_ÖLN" sheetId="2" r:id="rId3"/>
    <sheet name="DB_Bio" sheetId="5" r:id="rId4"/>
    <sheet name="Text" sheetId="4" r:id="rId5"/>
    <sheet name="Bemerkungen" sheetId="7" r:id="rId6"/>
    <sheet name="Berechnungen_Grundlagen" sheetId="9" r:id="rId7"/>
  </sheets>
  <definedNames>
    <definedName name="_xlnm.Print_Area" localSheetId="0">'Eingabe und Berechnungen TS,DB'!$A$1:$I$184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2" l="1"/>
  <c r="D57" i="2"/>
  <c r="D56" i="2"/>
  <c r="D55" i="2"/>
  <c r="D37" i="2"/>
  <c r="D26" i="2"/>
  <c r="D25" i="2"/>
  <c r="D122" i="5"/>
  <c r="D120" i="5"/>
  <c r="D116" i="5"/>
  <c r="D115" i="5"/>
  <c r="D114" i="5"/>
  <c r="D113" i="5"/>
  <c r="D111" i="5"/>
  <c r="D128" i="5"/>
  <c r="D126" i="5"/>
  <c r="D108" i="5"/>
  <c r="D107" i="5"/>
  <c r="D100" i="5"/>
  <c r="D99" i="5"/>
  <c r="D94" i="5"/>
  <c r="D91" i="5"/>
  <c r="D90" i="5"/>
  <c r="D89" i="5"/>
  <c r="D87" i="5"/>
  <c r="D86" i="5"/>
  <c r="D82" i="5"/>
  <c r="D80" i="5"/>
  <c r="D75" i="5"/>
  <c r="D72" i="5"/>
  <c r="D70" i="5"/>
  <c r="D69" i="5"/>
  <c r="D68" i="5"/>
  <c r="D67" i="5"/>
  <c r="D60" i="5"/>
  <c r="D58" i="5"/>
  <c r="D57" i="5"/>
  <c r="D56" i="5"/>
  <c r="D55" i="5"/>
  <c r="D53" i="5"/>
  <c r="D52" i="5"/>
  <c r="D51" i="5"/>
  <c r="D50" i="5"/>
  <c r="D49" i="5"/>
  <c r="D48" i="5"/>
  <c r="D47" i="5"/>
  <c r="D45" i="5"/>
  <c r="D44" i="5"/>
  <c r="D43" i="5"/>
  <c r="D41" i="5"/>
  <c r="D40" i="5"/>
  <c r="D39" i="5"/>
  <c r="D37" i="5"/>
  <c r="D36" i="5"/>
  <c r="D35" i="5"/>
  <c r="D34" i="5"/>
  <c r="D33" i="5"/>
  <c r="D31" i="5"/>
  <c r="D30" i="5"/>
  <c r="D29" i="5"/>
  <c r="D28" i="5"/>
  <c r="D27" i="5"/>
  <c r="D26" i="5"/>
  <c r="D25" i="5"/>
  <c r="D128" i="2"/>
  <c r="D126" i="2"/>
  <c r="D124" i="2"/>
  <c r="D123" i="2"/>
  <c r="D120" i="2"/>
  <c r="D116" i="2"/>
  <c r="D115" i="2"/>
  <c r="D114" i="2"/>
  <c r="D113" i="2"/>
  <c r="D111" i="2"/>
  <c r="D108" i="2"/>
  <c r="D107" i="2"/>
  <c r="D100" i="2"/>
  <c r="D99" i="2"/>
  <c r="D94" i="2"/>
  <c r="D91" i="2"/>
  <c r="D90" i="2"/>
  <c r="D89" i="2"/>
  <c r="D87" i="2"/>
  <c r="D86" i="2"/>
  <c r="D83" i="2"/>
  <c r="D82" i="2"/>
  <c r="D80" i="2"/>
  <c r="D79" i="2"/>
  <c r="D75" i="2"/>
  <c r="D72" i="2"/>
  <c r="D70" i="2"/>
  <c r="D69" i="2"/>
  <c r="D68" i="2"/>
  <c r="D67" i="2"/>
  <c r="D60" i="2"/>
  <c r="D53" i="2"/>
  <c r="D52" i="2"/>
  <c r="D51" i="2"/>
  <c r="D49" i="2"/>
  <c r="D47" i="2"/>
  <c r="D48" i="2"/>
  <c r="D45" i="2"/>
  <c r="D44" i="2"/>
  <c r="D43" i="2"/>
  <c r="D41" i="2"/>
  <c r="D40" i="2"/>
  <c r="D39" i="2"/>
  <c r="D36" i="2"/>
  <c r="D35" i="2"/>
  <c r="D34" i="2"/>
  <c r="D33" i="2"/>
  <c r="D31" i="2"/>
  <c r="D30" i="2"/>
  <c r="D29" i="2"/>
  <c r="D28" i="2"/>
  <c r="D27" i="2"/>
  <c r="S116" i="5"/>
  <c r="S115" i="5"/>
  <c r="R115" i="5"/>
  <c r="S116" i="2"/>
  <c r="S115" i="2"/>
  <c r="R116" i="2"/>
  <c r="Q80" i="2"/>
  <c r="D50" i="2" l="1"/>
  <c r="R116" i="5"/>
  <c r="Q115" i="5"/>
  <c r="R115" i="2"/>
  <c r="Q116" i="2"/>
  <c r="Q115" i="2"/>
  <c r="P115" i="2"/>
  <c r="O80" i="2"/>
  <c r="P80" i="2"/>
  <c r="Q80" i="5" l="1"/>
  <c r="P80" i="5"/>
  <c r="Q116" i="5" l="1"/>
  <c r="P115" i="5" l="1"/>
  <c r="P116" i="5"/>
  <c r="P116" i="2"/>
  <c r="O80" i="5"/>
  <c r="N115" i="2" l="1"/>
  <c r="N116" i="2"/>
  <c r="O116" i="2"/>
  <c r="O115" i="2"/>
  <c r="O116" i="5"/>
  <c r="N116" i="5"/>
  <c r="O115" i="5"/>
  <c r="N115" i="5"/>
  <c r="M115" i="5"/>
  <c r="N80" i="5"/>
  <c r="N80" i="2"/>
  <c r="M80" i="2"/>
  <c r="L80" i="2"/>
  <c r="M80" i="5" l="1"/>
  <c r="L80" i="5"/>
  <c r="A102" i="1" l="1"/>
  <c r="C102" i="1"/>
  <c r="H102" i="1"/>
  <c r="I102" i="1" s="1"/>
  <c r="G165" i="1"/>
  <c r="I165" i="1"/>
  <c r="G145" i="1"/>
  <c r="I145" i="1"/>
  <c r="F125" i="1"/>
  <c r="G125" i="1" s="1"/>
  <c r="C125" i="1"/>
  <c r="A125" i="1"/>
  <c r="H125" i="1"/>
  <c r="I125" i="1" s="1"/>
  <c r="H122" i="1"/>
  <c r="I122" i="1" s="1"/>
  <c r="F122" i="1"/>
  <c r="G122" i="1" s="1"/>
  <c r="C122" i="1"/>
  <c r="A122" i="1"/>
  <c r="H61" i="1" l="1"/>
  <c r="I61" i="1" s="1"/>
  <c r="H19" i="1" l="1"/>
  <c r="H18" i="1"/>
  <c r="H15" i="1"/>
  <c r="H16" i="1"/>
  <c r="G13" i="1" l="1"/>
  <c r="H13" i="1" s="1"/>
  <c r="M116" i="5"/>
  <c r="N100" i="5"/>
  <c r="N100" i="2"/>
  <c r="N68" i="2"/>
  <c r="N58" i="2"/>
  <c r="N58" i="5"/>
  <c r="N28" i="2"/>
  <c r="L116" i="2" l="1"/>
  <c r="L115" i="2"/>
  <c r="M116" i="2"/>
  <c r="M115" i="2"/>
  <c r="M100" i="5" l="1"/>
  <c r="M58" i="5"/>
  <c r="M100" i="2"/>
  <c r="M68" i="2"/>
  <c r="M28" i="2"/>
  <c r="I46" i="14" l="1"/>
  <c r="J115" i="5" l="1"/>
  <c r="K115" i="5"/>
  <c r="L115" i="5"/>
  <c r="J116" i="5"/>
  <c r="K116" i="5"/>
  <c r="L116" i="5"/>
  <c r="I116" i="5"/>
  <c r="I115" i="5"/>
  <c r="J115" i="2"/>
  <c r="K115" i="2"/>
  <c r="J116" i="2"/>
  <c r="K116" i="2"/>
  <c r="I116" i="2"/>
  <c r="I115" i="2"/>
  <c r="C55" i="14" l="1"/>
  <c r="I43" i="14" l="1"/>
  <c r="I44" i="14"/>
  <c r="I45" i="14"/>
  <c r="I47" i="14"/>
  <c r="I48" i="14"/>
  <c r="I50" i="14"/>
  <c r="I42" i="14"/>
  <c r="C31" i="14"/>
  <c r="C30" i="14"/>
  <c r="C51" i="14"/>
  <c r="A53" i="14" s="1"/>
  <c r="I51" i="14" l="1"/>
  <c r="H153" i="1" l="1"/>
  <c r="I153" i="1" s="1"/>
  <c r="H152" i="1"/>
  <c r="I152" i="1" s="1"/>
  <c r="F153" i="1"/>
  <c r="F152" i="1"/>
  <c r="C153" i="1"/>
  <c r="C152" i="1"/>
  <c r="A153" i="1"/>
  <c r="A152" i="1"/>
  <c r="F148" i="1"/>
  <c r="C148" i="1"/>
  <c r="A148" i="1"/>
  <c r="H148" i="1"/>
  <c r="I148" i="1" s="1"/>
  <c r="L100" i="2"/>
  <c r="G14" i="1" s="1"/>
  <c r="H14" i="1" s="1"/>
  <c r="L100" i="5"/>
  <c r="L58" i="5"/>
  <c r="L58" i="2"/>
  <c r="G153" i="1" l="1"/>
  <c r="G148" i="1"/>
  <c r="G152" i="1"/>
  <c r="H121" i="9"/>
  <c r="I121" i="9"/>
  <c r="G121" i="9"/>
  <c r="F98" i="9"/>
  <c r="F99" i="9"/>
  <c r="K106" i="9" l="1"/>
  <c r="K102" i="9"/>
  <c r="K98" i="9"/>
  <c r="H116" i="9"/>
  <c r="G118" i="9"/>
  <c r="F101" i="9"/>
  <c r="F102" i="9"/>
  <c r="F103" i="9"/>
  <c r="F105" i="9"/>
  <c r="F106" i="9"/>
  <c r="F107" i="9"/>
  <c r="F109" i="9"/>
  <c r="F110" i="9"/>
  <c r="I110" i="9" s="1"/>
  <c r="F112" i="9"/>
  <c r="I112" i="9" s="1"/>
  <c r="F114" i="9"/>
  <c r="I114" i="9" s="1"/>
  <c r="F118" i="9"/>
  <c r="F97" i="9"/>
  <c r="I118" i="9" l="1"/>
  <c r="F116" i="9"/>
  <c r="C7" i="9" l="1"/>
  <c r="E7" i="9" s="1"/>
  <c r="N6" i="9"/>
  <c r="C6" i="9" s="1"/>
  <c r="E6" i="9" s="1"/>
  <c r="N7" i="9"/>
  <c r="N8" i="9"/>
  <c r="C8" i="9" s="1"/>
  <c r="E8" i="9" s="1"/>
  <c r="N9" i="9"/>
  <c r="C9" i="9" s="1"/>
  <c r="E9" i="9" s="1"/>
  <c r="N10" i="9"/>
  <c r="C10" i="9" s="1"/>
  <c r="E10" i="9" s="1"/>
  <c r="N5" i="9"/>
  <c r="C5" i="9" s="1"/>
  <c r="E5" i="9" s="1"/>
  <c r="I54" i="1" l="1"/>
  <c r="I52" i="1"/>
  <c r="I50" i="1"/>
  <c r="I49" i="1"/>
  <c r="E39" i="9" l="1"/>
  <c r="E40" i="9" l="1"/>
  <c r="E53" i="9" s="1"/>
  <c r="F40" i="9"/>
  <c r="G40" i="9"/>
  <c r="H40" i="9"/>
  <c r="I40" i="9"/>
  <c r="D40" i="9"/>
  <c r="F39" i="9"/>
  <c r="F53" i="9" s="1"/>
  <c r="G39" i="9"/>
  <c r="G53" i="9" s="1"/>
  <c r="H39" i="9"/>
  <c r="H53" i="9" s="1"/>
  <c r="I39" i="9"/>
  <c r="I53" i="9" s="1"/>
  <c r="D39" i="9"/>
  <c r="D22" i="9"/>
  <c r="I42" i="9"/>
  <c r="C15" i="9" l="1"/>
  <c r="C16" i="9"/>
  <c r="C17" i="9"/>
  <c r="C18" i="9"/>
  <c r="C19" i="9"/>
  <c r="C14" i="9"/>
  <c r="E42" i="9"/>
  <c r="F42" i="9"/>
  <c r="H42" i="9"/>
  <c r="D42" i="9"/>
  <c r="D27" i="9"/>
  <c r="D28" i="9"/>
  <c r="D23" i="9"/>
  <c r="D24" i="9"/>
  <c r="D25" i="9"/>
  <c r="C27" i="1" l="1"/>
  <c r="A26" i="1"/>
  <c r="A27" i="1"/>
  <c r="D36" i="9"/>
  <c r="E36" i="9"/>
  <c r="I36" i="9"/>
  <c r="H36" i="9"/>
  <c r="C23" i="1"/>
  <c r="G36" i="9"/>
  <c r="F36" i="9"/>
  <c r="F28" i="9"/>
  <c r="F27" i="9"/>
  <c r="F25" i="9"/>
  <c r="F24" i="9"/>
  <c r="F23" i="9"/>
  <c r="F22" i="9"/>
  <c r="D53" i="9" l="1"/>
  <c r="H37" i="9"/>
  <c r="F37" i="9"/>
  <c r="G37" i="9"/>
  <c r="E37" i="9"/>
  <c r="I37" i="9"/>
  <c r="D37" i="9"/>
  <c r="C36" i="9"/>
  <c r="G42" i="9"/>
  <c r="C26" i="1" l="1"/>
  <c r="H27" i="1"/>
  <c r="I27" i="1"/>
  <c r="G27" i="1"/>
  <c r="E27" i="1"/>
  <c r="D27" i="1"/>
  <c r="F27" i="1"/>
  <c r="F19" i="1"/>
  <c r="F18" i="1"/>
  <c r="F14" i="1"/>
  <c r="F15" i="1"/>
  <c r="F16" i="1"/>
  <c r="F13" i="1"/>
  <c r="H54" i="1" l="1"/>
  <c r="H114" i="9" s="1"/>
  <c r="I29" i="1"/>
  <c r="H52" i="1"/>
  <c r="H112" i="9" s="1"/>
  <c r="H29" i="1"/>
  <c r="H49" i="1"/>
  <c r="H109" i="9" s="1"/>
  <c r="G29" i="1"/>
  <c r="H45" i="1"/>
  <c r="H105" i="9" s="1"/>
  <c r="F29" i="1"/>
  <c r="H41" i="1"/>
  <c r="E29" i="1"/>
  <c r="H37" i="1"/>
  <c r="H97" i="9" s="1"/>
  <c r="D29" i="1"/>
  <c r="G37" i="1"/>
  <c r="G97" i="9" s="1"/>
  <c r="K100" i="5"/>
  <c r="K100" i="2"/>
  <c r="K68" i="2"/>
  <c r="L106" i="9" l="1"/>
  <c r="M106" i="9" s="1"/>
  <c r="N106" i="9" s="1"/>
  <c r="L98" i="9"/>
  <c r="M98" i="9" s="1"/>
  <c r="N98" i="9" s="1"/>
  <c r="H101" i="9"/>
  <c r="G43" i="9"/>
  <c r="G46" i="9" s="1"/>
  <c r="E43" i="9"/>
  <c r="E46" i="9" s="1"/>
  <c r="H43" i="9"/>
  <c r="H46" i="9" s="1"/>
  <c r="F43" i="9"/>
  <c r="F46" i="9" s="1"/>
  <c r="D43" i="9"/>
  <c r="D46" i="9" s="1"/>
  <c r="I43" i="9"/>
  <c r="I46" i="9" s="1"/>
  <c r="A56" i="9"/>
  <c r="A64" i="9" s="1"/>
  <c r="K58" i="5"/>
  <c r="K58" i="2"/>
  <c r="K28" i="2"/>
  <c r="N105" i="9" l="1"/>
  <c r="O106" i="9"/>
  <c r="I106" i="9" s="1"/>
  <c r="N97" i="9"/>
  <c r="O97" i="9" s="1"/>
  <c r="I97" i="9" s="1"/>
  <c r="L102" i="9"/>
  <c r="M102" i="9" s="1"/>
  <c r="N102" i="9" s="1"/>
  <c r="A49" i="9"/>
  <c r="A60" i="9" s="1"/>
  <c r="I166" i="1"/>
  <c r="I37" i="1" l="1"/>
  <c r="I46" i="1"/>
  <c r="A33" i="1"/>
  <c r="N101" i="9"/>
  <c r="O102" i="9"/>
  <c r="I102" i="9" s="1"/>
  <c r="I144" i="1"/>
  <c r="F142" i="1"/>
  <c r="G166" i="1"/>
  <c r="G144" i="1"/>
  <c r="I105" i="1"/>
  <c r="H81" i="1"/>
  <c r="I81" i="1" s="1"/>
  <c r="C81" i="1"/>
  <c r="A81" i="1"/>
  <c r="F56" i="1"/>
  <c r="I42" i="1" l="1"/>
  <c r="H159" i="1"/>
  <c r="I159" i="1" s="1"/>
  <c r="F159" i="1"/>
  <c r="H163" i="1"/>
  <c r="I163" i="1" s="1"/>
  <c r="H162" i="1"/>
  <c r="I162" i="1" s="1"/>
  <c r="F163" i="1"/>
  <c r="F162" i="1"/>
  <c r="C163" i="1"/>
  <c r="C162" i="1"/>
  <c r="A163" i="1"/>
  <c r="A162" i="1"/>
  <c r="C159" i="1"/>
  <c r="A159" i="1"/>
  <c r="F160" i="1"/>
  <c r="H160" i="1"/>
  <c r="I160" i="1" s="1"/>
  <c r="G159" i="1" l="1"/>
  <c r="G160" i="1"/>
  <c r="G163" i="1"/>
  <c r="G162" i="1"/>
  <c r="I58" i="1"/>
  <c r="A156" i="1"/>
  <c r="C156" i="1"/>
  <c r="F156" i="1"/>
  <c r="A157" i="1"/>
  <c r="C157" i="1"/>
  <c r="F157" i="1"/>
  <c r="H157" i="1"/>
  <c r="I157" i="1" s="1"/>
  <c r="A158" i="1"/>
  <c r="C158" i="1"/>
  <c r="F158" i="1"/>
  <c r="H158" i="1"/>
  <c r="I158" i="1" s="1"/>
  <c r="A160" i="1"/>
  <c r="C160" i="1"/>
  <c r="A161" i="1"/>
  <c r="C161" i="1"/>
  <c r="F161" i="1"/>
  <c r="A141" i="1"/>
  <c r="F141" i="1"/>
  <c r="A142" i="1"/>
  <c r="A143" i="1"/>
  <c r="C143" i="1"/>
  <c r="F143" i="1"/>
  <c r="H143" i="1"/>
  <c r="I143" i="1" s="1"/>
  <c r="A150" i="1"/>
  <c r="C150" i="1"/>
  <c r="F150" i="1"/>
  <c r="A151" i="1"/>
  <c r="C151" i="1"/>
  <c r="F151" i="1"/>
  <c r="A154" i="1"/>
  <c r="F154" i="1"/>
  <c r="H154" i="1"/>
  <c r="I154" i="1" s="1"/>
  <c r="A155" i="1"/>
  <c r="F155" i="1"/>
  <c r="H155" i="1"/>
  <c r="I155" i="1" s="1"/>
  <c r="A110" i="1"/>
  <c r="C110" i="1"/>
  <c r="F110" i="1"/>
  <c r="A111" i="1"/>
  <c r="C111" i="1"/>
  <c r="F111" i="1"/>
  <c r="A112" i="1"/>
  <c r="C112" i="1"/>
  <c r="F112" i="1"/>
  <c r="A114" i="1"/>
  <c r="C114" i="1"/>
  <c r="F114" i="1"/>
  <c r="A115" i="1"/>
  <c r="C115" i="1"/>
  <c r="F115" i="1"/>
  <c r="H115" i="1"/>
  <c r="I115" i="1" s="1"/>
  <c r="A117" i="1"/>
  <c r="C117" i="1"/>
  <c r="F117" i="1"/>
  <c r="A118" i="1"/>
  <c r="F118" i="1"/>
  <c r="H118" i="1"/>
  <c r="I118" i="1" s="1"/>
  <c r="A119" i="1"/>
  <c r="F119" i="1"/>
  <c r="H119" i="1"/>
  <c r="I119" i="1" s="1"/>
  <c r="A120" i="1"/>
  <c r="F120" i="1"/>
  <c r="H120" i="1"/>
  <c r="I120" i="1" s="1"/>
  <c r="A124" i="1"/>
  <c r="C124" i="1"/>
  <c r="F124" i="1"/>
  <c r="A126" i="1"/>
  <c r="C126" i="1"/>
  <c r="F126" i="1"/>
  <c r="H126" i="1"/>
  <c r="I126" i="1" s="1"/>
  <c r="A128" i="1"/>
  <c r="C128" i="1"/>
  <c r="A129" i="1"/>
  <c r="C129" i="1"/>
  <c r="F129" i="1"/>
  <c r="A130" i="1"/>
  <c r="C130" i="1"/>
  <c r="F130" i="1"/>
  <c r="H130" i="1"/>
  <c r="I130" i="1" s="1"/>
  <c r="A131" i="1"/>
  <c r="C131" i="1"/>
  <c r="F131" i="1"/>
  <c r="A132" i="1"/>
  <c r="C132" i="1"/>
  <c r="F132" i="1"/>
  <c r="A133" i="1"/>
  <c r="C133" i="1"/>
  <c r="F133" i="1"/>
  <c r="A134" i="1"/>
  <c r="C134" i="1"/>
  <c r="F134" i="1"/>
  <c r="H134" i="1"/>
  <c r="I134" i="1" s="1"/>
  <c r="A135" i="1"/>
  <c r="C135" i="1"/>
  <c r="F135" i="1"/>
  <c r="H135" i="1"/>
  <c r="I135" i="1" s="1"/>
  <c r="A136" i="1"/>
  <c r="C136" i="1"/>
  <c r="F136" i="1"/>
  <c r="A137" i="1"/>
  <c r="C137" i="1"/>
  <c r="F137" i="1"/>
  <c r="H137" i="1"/>
  <c r="I137" i="1" s="1"/>
  <c r="A138" i="1"/>
  <c r="C138" i="1"/>
  <c r="F138" i="1"/>
  <c r="H138" i="1"/>
  <c r="I138" i="1" s="1"/>
  <c r="A139" i="1"/>
  <c r="C139" i="1"/>
  <c r="F139" i="1"/>
  <c r="H139" i="1"/>
  <c r="I139" i="1" s="1"/>
  <c r="A140" i="1"/>
  <c r="C140" i="1"/>
  <c r="F140" i="1"/>
  <c r="H140" i="1"/>
  <c r="I140" i="1" s="1"/>
  <c r="F109" i="1"/>
  <c r="C109" i="1"/>
  <c r="A109" i="1"/>
  <c r="A98" i="1"/>
  <c r="C98" i="1"/>
  <c r="A100" i="1"/>
  <c r="C100" i="1"/>
  <c r="A90" i="1"/>
  <c r="C90" i="1"/>
  <c r="A91" i="1"/>
  <c r="C91" i="1"/>
  <c r="A92" i="1"/>
  <c r="C92" i="1"/>
  <c r="A93" i="1"/>
  <c r="C93" i="1"/>
  <c r="A95" i="1"/>
  <c r="C95" i="1"/>
  <c r="A96" i="1"/>
  <c r="C96" i="1"/>
  <c r="A97" i="1"/>
  <c r="C97" i="1"/>
  <c r="C66" i="1"/>
  <c r="C67" i="1"/>
  <c r="C68" i="1"/>
  <c r="C69" i="1"/>
  <c r="C70" i="1"/>
  <c r="C71" i="1"/>
  <c r="C73" i="1"/>
  <c r="C74" i="1"/>
  <c r="C75" i="1"/>
  <c r="C76" i="1"/>
  <c r="C77" i="1"/>
  <c r="C79" i="1"/>
  <c r="C80" i="1"/>
  <c r="C83" i="1"/>
  <c r="C84" i="1"/>
  <c r="C85" i="1"/>
  <c r="C87" i="1"/>
  <c r="C88" i="1"/>
  <c r="C89" i="1"/>
  <c r="C65" i="1"/>
  <c r="A66" i="1"/>
  <c r="A67" i="1"/>
  <c r="A68" i="1"/>
  <c r="A69" i="1"/>
  <c r="A70" i="1"/>
  <c r="A71" i="1"/>
  <c r="A73" i="1"/>
  <c r="A74" i="1"/>
  <c r="A75" i="1"/>
  <c r="A76" i="1"/>
  <c r="A77" i="1"/>
  <c r="A79" i="1"/>
  <c r="A80" i="1"/>
  <c r="A83" i="1"/>
  <c r="A84" i="1"/>
  <c r="A85" i="1"/>
  <c r="A87" i="1"/>
  <c r="A88" i="1"/>
  <c r="A89" i="1"/>
  <c r="A65" i="1"/>
  <c r="H151" i="1"/>
  <c r="I151" i="1" s="1"/>
  <c r="G38" i="1"/>
  <c r="G98" i="9" s="1"/>
  <c r="O98" i="9" s="1"/>
  <c r="I98" i="9" s="1"/>
  <c r="G39" i="1"/>
  <c r="G99" i="9" s="1"/>
  <c r="I99" i="9" s="1"/>
  <c r="G41" i="1"/>
  <c r="G101" i="9" s="1"/>
  <c r="O101" i="9" s="1"/>
  <c r="I101" i="9" s="1"/>
  <c r="G42" i="1"/>
  <c r="G102" i="9" s="1"/>
  <c r="G43" i="1"/>
  <c r="G103" i="9" s="1"/>
  <c r="I103" i="9" s="1"/>
  <c r="G45" i="1"/>
  <c r="G105" i="9" s="1"/>
  <c r="O105" i="9" s="1"/>
  <c r="I105" i="9" s="1"/>
  <c r="G46" i="1"/>
  <c r="G106" i="9" s="1"/>
  <c r="G47" i="1"/>
  <c r="G107" i="9" s="1"/>
  <c r="I107" i="9" s="1"/>
  <c r="G49" i="1"/>
  <c r="G109" i="9" s="1"/>
  <c r="I109" i="9" s="1"/>
  <c r="G50" i="1"/>
  <c r="G110" i="9" s="1"/>
  <c r="G52" i="1"/>
  <c r="G112" i="9" s="1"/>
  <c r="G54" i="1"/>
  <c r="G114" i="9" s="1"/>
  <c r="H136" i="1"/>
  <c r="I136" i="1" s="1"/>
  <c r="H133" i="1"/>
  <c r="I133" i="1" s="1"/>
  <c r="H131" i="1"/>
  <c r="I131" i="1" s="1"/>
  <c r="H129" i="1"/>
  <c r="I129" i="1" s="1"/>
  <c r="H161" i="1"/>
  <c r="I161" i="1" s="1"/>
  <c r="H142" i="1"/>
  <c r="I142" i="1" s="1"/>
  <c r="H141" i="1"/>
  <c r="I141" i="1" s="1"/>
  <c r="I45" i="1" l="1"/>
  <c r="I39" i="1"/>
  <c r="I38" i="1"/>
  <c r="I41" i="1"/>
  <c r="O103" i="9"/>
  <c r="I43" i="1"/>
  <c r="I47" i="1"/>
  <c r="O107" i="9"/>
  <c r="G136" i="1"/>
  <c r="G135" i="1"/>
  <c r="G134" i="1"/>
  <c r="G129" i="1"/>
  <c r="G118" i="1"/>
  <c r="G112" i="1"/>
  <c r="G161" i="1"/>
  <c r="G140" i="1"/>
  <c r="G139" i="1"/>
  <c r="G138" i="1"/>
  <c r="G137" i="1"/>
  <c r="G131" i="1"/>
  <c r="G130" i="1"/>
  <c r="G119" i="1"/>
  <c r="G114" i="1"/>
  <c r="G154" i="1"/>
  <c r="G142" i="1"/>
  <c r="G156" i="1"/>
  <c r="G132" i="1"/>
  <c r="G124" i="1"/>
  <c r="G120" i="1"/>
  <c r="G117" i="1"/>
  <c r="G115" i="1"/>
  <c r="G110" i="1"/>
  <c r="G155" i="1"/>
  <c r="G150" i="1"/>
  <c r="G143" i="1"/>
  <c r="G158" i="1"/>
  <c r="G157" i="1"/>
  <c r="G133" i="1"/>
  <c r="G126" i="1"/>
  <c r="G111" i="1"/>
  <c r="G151" i="1"/>
  <c r="G141" i="1"/>
  <c r="H110" i="1"/>
  <c r="I110" i="1" s="1"/>
  <c r="H111" i="1"/>
  <c r="I111" i="1" s="1"/>
  <c r="H112" i="1"/>
  <c r="I112" i="1" s="1"/>
  <c r="H100" i="1"/>
  <c r="I100" i="1" s="1"/>
  <c r="H95" i="1"/>
  <c r="I95" i="1" s="1"/>
  <c r="H96" i="1"/>
  <c r="I96" i="1" s="1"/>
  <c r="H97" i="1"/>
  <c r="I97" i="1" s="1"/>
  <c r="H98" i="1"/>
  <c r="I98" i="1" s="1"/>
  <c r="H93" i="1"/>
  <c r="I93" i="1" s="1"/>
  <c r="H92" i="1"/>
  <c r="I92" i="1" s="1"/>
  <c r="H91" i="1"/>
  <c r="I91" i="1" s="1"/>
  <c r="C175" i="1" l="1"/>
  <c r="I56" i="1"/>
  <c r="H65" i="1"/>
  <c r="I65" i="1" s="1"/>
  <c r="H66" i="1"/>
  <c r="I66" i="1" s="1"/>
  <c r="H67" i="1"/>
  <c r="I67" i="1" s="1"/>
  <c r="G109" i="1"/>
  <c r="C176" i="1" s="1"/>
  <c r="H117" i="1"/>
  <c r="I117" i="1" s="1"/>
  <c r="H124" i="1"/>
  <c r="I124" i="1" s="1"/>
  <c r="H114" i="1"/>
  <c r="I114" i="1" s="1"/>
  <c r="H128" i="1"/>
  <c r="I128" i="1" s="1"/>
  <c r="H132" i="1"/>
  <c r="I132" i="1" s="1"/>
  <c r="H150" i="1"/>
  <c r="I150" i="1" s="1"/>
  <c r="H156" i="1"/>
  <c r="I156" i="1" s="1"/>
  <c r="H68" i="1"/>
  <c r="I68" i="1" s="1"/>
  <c r="H69" i="1"/>
  <c r="I69" i="1" s="1"/>
  <c r="H70" i="1"/>
  <c r="I70" i="1" s="1"/>
  <c r="H71" i="1"/>
  <c r="I71" i="1" s="1"/>
  <c r="H73" i="1"/>
  <c r="I73" i="1" s="1"/>
  <c r="H74" i="1"/>
  <c r="I74" i="1" s="1"/>
  <c r="H75" i="1"/>
  <c r="I75" i="1" s="1"/>
  <c r="H76" i="1"/>
  <c r="I76" i="1" s="1"/>
  <c r="H77" i="1"/>
  <c r="I77" i="1" s="1"/>
  <c r="H79" i="1"/>
  <c r="I79" i="1" s="1"/>
  <c r="H80" i="1"/>
  <c r="I80" i="1" s="1"/>
  <c r="H83" i="1"/>
  <c r="I83" i="1" s="1"/>
  <c r="H84" i="1"/>
  <c r="I84" i="1" s="1"/>
  <c r="H85" i="1"/>
  <c r="I85" i="1" s="1"/>
  <c r="H87" i="1"/>
  <c r="I87" i="1" s="1"/>
  <c r="H88" i="1"/>
  <c r="I88" i="1" s="1"/>
  <c r="H89" i="1"/>
  <c r="I89" i="1" s="1"/>
  <c r="H90" i="1"/>
  <c r="I90" i="1" s="1"/>
  <c r="E170" i="1" l="1"/>
  <c r="C35" i="14" s="1"/>
  <c r="F176" i="1"/>
  <c r="H109" i="1"/>
  <c r="I109" i="1" s="1"/>
  <c r="A170" i="1" s="1"/>
  <c r="A172" i="1" l="1"/>
  <c r="A206" i="1"/>
  <c r="C34" i="14"/>
  <c r="G43" i="14" s="1"/>
  <c r="A203" i="1"/>
  <c r="D169" i="1"/>
  <c r="G42" i="14" l="1"/>
  <c r="C36" i="14"/>
  <c r="G44" i="14" s="1"/>
  <c r="A179" i="1"/>
  <c r="I116" i="9"/>
  <c r="O9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 Rudolf</author>
  </authors>
  <commentList>
    <comment ref="B37" authorId="0" shapeId="0" xr:uid="{00000000-0006-0000-0000-000001000000}">
      <text>
        <r>
          <rPr>
            <sz val="9"/>
            <color indexed="81"/>
            <rFont val="Tahoma"/>
            <family val="2"/>
          </rPr>
          <t>Flächen, welche das Potential einer intensiven Nutzung aufweisen (kann von effektiver Nutzung abweichen)</t>
        </r>
      </text>
    </comment>
    <comment ref="B38" authorId="0" shapeId="0" xr:uid="{00000000-0006-0000-0000-000002000000}">
      <text>
        <r>
          <rPr>
            <sz val="9"/>
            <color indexed="81"/>
            <rFont val="Tahoma"/>
            <family val="2"/>
          </rPr>
          <t>Flächen, welche das Potential aufweisen (kann von effektiver Nutzung abweichen), mind. 7% der LN</t>
        </r>
      </text>
    </comment>
    <comment ref="G60" authorId="0" shapeId="0" xr:uid="{00000000-0006-0000-0000-000003000000}">
      <text>
        <r>
          <rPr>
            <b/>
            <sz val="9"/>
            <color indexed="81"/>
            <rFont val="Tahoma"/>
            <family val="2"/>
          </rPr>
          <t>Christoph Rudolf:</t>
        </r>
        <r>
          <rPr>
            <sz val="9"/>
            <color indexed="81"/>
            <rFont val="Tahoma"/>
            <family val="2"/>
          </rPr>
          <t xml:space="preserve">
DB nur bei grösseren Beständen und/oder falls effektiv ein Ertrag erwirtschaftet wird verwenden. </t>
        </r>
      </text>
    </comment>
    <comment ref="G64" authorId="0" shapeId="0" xr:uid="{00000000-0006-0000-0000-000004000000}">
      <text>
        <r>
          <rPr>
            <sz val="9"/>
            <color indexed="81"/>
            <rFont val="Tahoma"/>
            <family val="2"/>
          </rPr>
          <t xml:space="preserve">beabsichtigte zukünftige Flächennutzung
</t>
        </r>
      </text>
    </comment>
    <comment ref="E107" authorId="0" shapeId="0" xr:uid="{00000000-0006-0000-0000-000005000000}">
      <text>
        <r>
          <rPr>
            <sz val="9"/>
            <color indexed="81"/>
            <rFont val="Tahoma"/>
            <family val="2"/>
          </rPr>
          <t>beabsichtigte zukünftige Tierhaltung</t>
        </r>
      </text>
    </comment>
    <comment ref="H107" authorId="0" shapeId="0" xr:uid="{00000000-0006-0000-0000-000006000000}">
      <text>
        <r>
          <rPr>
            <sz val="9"/>
            <color indexed="81"/>
            <rFont val="Tahoma"/>
            <family val="2"/>
          </rPr>
          <t>Durchschnittswert über mehrere Jahre (i.d.R. drei Jahre)</t>
        </r>
      </text>
    </comment>
    <comment ref="A144" authorId="0" shapeId="0" xr:uid="{00000000-0006-0000-0000-000007000000}">
      <text>
        <r>
          <rPr>
            <sz val="9"/>
            <color indexed="81"/>
            <rFont val="Tahoma"/>
            <family val="2"/>
          </rPr>
          <t>weitere, nicht aufgeführte bodenabhängige Tierhaltung</t>
        </r>
      </text>
    </comment>
    <comment ref="A166" authorId="0" shapeId="0" xr:uid="{00000000-0006-0000-0000-000008000000}">
      <text>
        <r>
          <rPr>
            <sz val="9"/>
            <color indexed="81"/>
            <rFont val="Tahoma"/>
            <family val="2"/>
          </rPr>
          <t>weitere, nicht aufgeführte bodenunabhängige Tierhaltung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 Rudolf</author>
  </authors>
  <commentList>
    <comment ref="B97" authorId="0" shapeId="0" xr:uid="{00000000-0006-0000-0600-000001000000}">
      <text>
        <r>
          <rPr>
            <sz val="9"/>
            <color indexed="81"/>
            <rFont val="Tahoma"/>
            <family val="2"/>
          </rPr>
          <t>Flächen, welche das Potential einer intensiven Nutzung aufweisen (kann von effektiver Nutzung abweichen)</t>
        </r>
      </text>
    </comment>
    <comment ref="B98" authorId="0" shapeId="0" xr:uid="{00000000-0006-0000-0600-000002000000}">
      <text>
        <r>
          <rPr>
            <sz val="9"/>
            <color indexed="81"/>
            <rFont val="Tahoma"/>
            <family val="2"/>
          </rPr>
          <t>Flächen, welche das Potential aufweisen (kann von effektiver Nutzung abweichen), mind. 7% der LN</t>
        </r>
      </text>
    </comment>
  </commentList>
</comments>
</file>

<file path=xl/sharedStrings.xml><?xml version="1.0" encoding="utf-8"?>
<sst xmlns="http://schemas.openxmlformats.org/spreadsheetml/2006/main" count="686" uniqueCount="371">
  <si>
    <t>Amt für Landwirtschaft und Natur</t>
  </si>
  <si>
    <t>Innere Aufstockung</t>
  </si>
  <si>
    <t>des Kantons Bern</t>
  </si>
  <si>
    <t>Tierhaltung</t>
  </si>
  <si>
    <t>Deckungsbeitrags- und Trockensubstanzkriterium nach Art. 36 RPV</t>
  </si>
  <si>
    <t>Kulturen</t>
  </si>
  <si>
    <t>Zone</t>
  </si>
  <si>
    <t>Kulturart</t>
  </si>
  <si>
    <t>Bio</t>
  </si>
  <si>
    <t>Hochstammbäume</t>
  </si>
  <si>
    <t>Zuchteber</t>
  </si>
  <si>
    <t>Ziegenböcke</t>
  </si>
  <si>
    <t>Plätze</t>
  </si>
  <si>
    <r>
      <t>Winterweizen</t>
    </r>
    <r>
      <rPr>
        <sz val="11"/>
        <rFont val="Arial"/>
        <family val="2"/>
      </rPr>
      <t xml:space="preserve"> </t>
    </r>
  </si>
  <si>
    <t>Sommerweizen</t>
  </si>
  <si>
    <t>Dinkel</t>
  </si>
  <si>
    <r>
      <t>Roggen</t>
    </r>
    <r>
      <rPr>
        <sz val="11"/>
        <rFont val="Arial"/>
        <family val="2"/>
      </rPr>
      <t xml:space="preserve"> </t>
    </r>
  </si>
  <si>
    <r>
      <t>Triticale</t>
    </r>
    <r>
      <rPr>
        <sz val="11"/>
        <rFont val="Arial"/>
        <family val="2"/>
      </rPr>
      <t xml:space="preserve"> </t>
    </r>
  </si>
  <si>
    <t>Wintergerste</t>
  </si>
  <si>
    <r>
      <t>Sommerhafer</t>
    </r>
    <r>
      <rPr>
        <sz val="11"/>
        <rFont val="Arial"/>
        <family val="2"/>
      </rPr>
      <t xml:space="preserve"> </t>
    </r>
  </si>
  <si>
    <r>
      <t>Ackerbohnen</t>
    </r>
    <r>
      <rPr>
        <sz val="11"/>
        <rFont val="Arial"/>
        <family val="2"/>
      </rPr>
      <t xml:space="preserve"> </t>
    </r>
  </si>
  <si>
    <r>
      <t>Eiweisserbsen</t>
    </r>
    <r>
      <rPr>
        <sz val="11"/>
        <rFont val="Arial"/>
        <family val="2"/>
      </rPr>
      <t xml:space="preserve"> </t>
    </r>
  </si>
  <si>
    <r>
      <t>Sonnenblumen</t>
    </r>
    <r>
      <rPr>
        <sz val="11"/>
        <rFont val="Arial"/>
        <family val="2"/>
      </rPr>
      <t xml:space="preserve"> </t>
    </r>
  </si>
  <si>
    <r>
      <t>Raps</t>
    </r>
    <r>
      <rPr>
        <sz val="11"/>
        <rFont val="Arial"/>
        <family val="2"/>
      </rPr>
      <t xml:space="preserve"> </t>
    </r>
  </si>
  <si>
    <r>
      <t>Soja</t>
    </r>
    <r>
      <rPr>
        <sz val="11"/>
        <rFont val="Arial"/>
        <family val="2"/>
      </rPr>
      <t xml:space="preserve"> </t>
    </r>
  </si>
  <si>
    <r>
      <t>Körnermais</t>
    </r>
    <r>
      <rPr>
        <sz val="11"/>
        <rFont val="Arial"/>
        <family val="2"/>
      </rPr>
      <t xml:space="preserve"> </t>
    </r>
  </si>
  <si>
    <r>
      <t>Silomais</t>
    </r>
    <r>
      <rPr>
        <sz val="11"/>
        <rFont val="Arial"/>
        <family val="2"/>
      </rPr>
      <t xml:space="preserve"> </t>
    </r>
  </si>
  <si>
    <r>
      <t>Zuckerrüben</t>
    </r>
    <r>
      <rPr>
        <sz val="11"/>
        <rFont val="Arial"/>
        <family val="2"/>
      </rPr>
      <t xml:space="preserve"> </t>
    </r>
  </si>
  <si>
    <r>
      <t>Futterrüben</t>
    </r>
    <r>
      <rPr>
        <sz val="11"/>
        <rFont val="Arial"/>
        <family val="2"/>
      </rPr>
      <t xml:space="preserve"> </t>
    </r>
  </si>
  <si>
    <t xml:space="preserve">Speisekartoffeln  </t>
  </si>
  <si>
    <r>
      <t>Kunstwiese</t>
    </r>
    <r>
      <rPr>
        <sz val="11"/>
        <rFont val="Arial"/>
        <family val="2"/>
      </rPr>
      <t xml:space="preserve"> </t>
    </r>
  </si>
  <si>
    <r>
      <t>Naturwiese</t>
    </r>
    <r>
      <rPr>
        <sz val="11"/>
        <rFont val="Arial"/>
        <family val="2"/>
      </rPr>
      <t xml:space="preserve"> </t>
    </r>
  </si>
  <si>
    <t>ÖLN intensiv Grosshandel</t>
  </si>
  <si>
    <t>ÖLN intensiv stehend ab Feld</t>
  </si>
  <si>
    <t>ÖLN intensiv, Futter eingeführt</t>
  </si>
  <si>
    <t>ÖLN wenig intensiv, Futter eingeführt</t>
  </si>
  <si>
    <t>ÖLN extensiv, Futter eingeführt</t>
  </si>
  <si>
    <t>DB Ø</t>
  </si>
  <si>
    <r>
      <t>Milchkuh</t>
    </r>
    <r>
      <rPr>
        <sz val="11"/>
        <rFont val="Arial"/>
        <family val="2"/>
      </rPr>
      <t xml:space="preserve"> </t>
    </r>
  </si>
  <si>
    <t>Kälbermast</t>
  </si>
  <si>
    <t>Schafe</t>
  </si>
  <si>
    <t>Fleischschafe</t>
  </si>
  <si>
    <r>
      <t>Zuchtschweine</t>
    </r>
    <r>
      <rPr>
        <sz val="11"/>
        <rFont val="Arial"/>
        <family val="2"/>
      </rPr>
      <t xml:space="preserve"> </t>
    </r>
  </si>
  <si>
    <r>
      <t>Legehennen</t>
    </r>
    <r>
      <rPr>
        <sz val="11"/>
        <rFont val="Arial"/>
        <family val="2"/>
      </rPr>
      <t xml:space="preserve"> </t>
    </r>
  </si>
  <si>
    <t>Junghennen</t>
  </si>
  <si>
    <t>TS - Deckungsgrad (%)</t>
  </si>
  <si>
    <t>TS - Potential (dt TS)</t>
  </si>
  <si>
    <t>Beurteilung</t>
  </si>
  <si>
    <t>Ergebnis DB</t>
  </si>
  <si>
    <r>
      <t xml:space="preserve">Der Betrieb </t>
    </r>
    <r>
      <rPr>
        <b/>
        <sz val="11"/>
        <color theme="1"/>
        <rFont val="Arial"/>
        <family val="2"/>
      </rPr>
      <t>erfüllt</t>
    </r>
    <r>
      <rPr>
        <sz val="11"/>
        <color theme="1"/>
        <rFont val="Arial"/>
        <family val="2"/>
      </rPr>
      <t xml:space="preserve"> (nach der Aufstockung) die Kriterien der inneren Aufstockung gemäss Art. 36 RPV </t>
    </r>
    <r>
      <rPr>
        <b/>
        <sz val="11"/>
        <color theme="1"/>
        <rFont val="Arial"/>
        <family val="2"/>
      </rPr>
      <t>nicht.</t>
    </r>
  </si>
  <si>
    <r>
      <t xml:space="preserve">Der Betrieb </t>
    </r>
    <r>
      <rPr>
        <b/>
        <sz val="11"/>
        <color theme="1"/>
        <rFont val="Arial"/>
        <family val="2"/>
      </rPr>
      <t>erfüllt</t>
    </r>
    <r>
      <rPr>
        <sz val="11"/>
        <color theme="1"/>
        <rFont val="Arial"/>
        <family val="2"/>
      </rPr>
      <t xml:space="preserve"> (nach der Aufstockung) die Kriterien der inneren Aufstockung gemäss Art. 36 RPV.</t>
    </r>
  </si>
  <si>
    <t>DB bodenabhängig (Fr.)</t>
  </si>
  <si>
    <t>Ackerland, Dauergrünland intensiv</t>
  </si>
  <si>
    <t>übriges Dauergrünland</t>
  </si>
  <si>
    <t>Fläche mit Dauerkulturen</t>
  </si>
  <si>
    <t>Dauergrünland</t>
  </si>
  <si>
    <t>TS-Potential (dt/ha)</t>
  </si>
  <si>
    <t>TS - Potential (ÖLN)</t>
  </si>
  <si>
    <t>Deckungsbeiträge (ÖLN)</t>
  </si>
  <si>
    <t>TS - Potential (Bio)</t>
  </si>
  <si>
    <t>Deckungsbeiträge (Bio)</t>
  </si>
  <si>
    <t>Bio Grosshandel</t>
  </si>
  <si>
    <t>Bio intensiv, Futter eingeführt</t>
  </si>
  <si>
    <t>Bio wenig intensiv, Futter eingeführt</t>
  </si>
  <si>
    <t>Bio extensiv, Futter eingeführt</t>
  </si>
  <si>
    <t>Aufzucht, Bio, Freiland</t>
  </si>
  <si>
    <t>Bio, Vollmilchmast</t>
  </si>
  <si>
    <t>Bio, Fleischschafe</t>
  </si>
  <si>
    <t>Buntbrache</t>
  </si>
  <si>
    <t>Rotationsbrache</t>
  </si>
  <si>
    <t>Hecke</t>
  </si>
  <si>
    <t>bestehend</t>
  </si>
  <si>
    <t>ÖLN, mit Hagelschutz</t>
  </si>
  <si>
    <t>Bio, ohne Hagelschutz</t>
  </si>
  <si>
    <t>Tafelbirnen</t>
  </si>
  <si>
    <t>ÖLN, ohne Hagelschutz</t>
  </si>
  <si>
    <t>ÖLN, Niederstamm, gedeckt</t>
  </si>
  <si>
    <t>Tafelkirschen</t>
  </si>
  <si>
    <t>Bio, Niederstamm, gedeckt</t>
  </si>
  <si>
    <t>Reben</t>
  </si>
  <si>
    <t>ÖLN, Durchschnitt</t>
  </si>
  <si>
    <t>Bio, Durchschnitt</t>
  </si>
  <si>
    <t>Erdbeeren</t>
  </si>
  <si>
    <t>ÖLN, Flachkultur</t>
  </si>
  <si>
    <t>Bio, Flachkultur</t>
  </si>
  <si>
    <t xml:space="preserve">Milchkuh </t>
  </si>
  <si>
    <t>Milchkuh</t>
  </si>
  <si>
    <t>Bio, Natura-Beef</t>
  </si>
  <si>
    <t xml:space="preserve">Kälbermast </t>
  </si>
  <si>
    <t>Kombi-Mast</t>
  </si>
  <si>
    <t>dt TS je Jahr</t>
  </si>
  <si>
    <t>gemolken</t>
  </si>
  <si>
    <t>Widder</t>
  </si>
  <si>
    <t>Fohlen</t>
  </si>
  <si>
    <t>bei Fuss</t>
  </si>
  <si>
    <t>unter 3-jährig</t>
  </si>
  <si>
    <t xml:space="preserve">Ziegen </t>
  </si>
  <si>
    <t>Ziegen</t>
  </si>
  <si>
    <t>andere, weibliche Ziegen über 1-jährig</t>
  </si>
  <si>
    <t>über 1-jährig</t>
  </si>
  <si>
    <t>Jungziegen</t>
  </si>
  <si>
    <t>HZ</t>
  </si>
  <si>
    <t>BZ I</t>
  </si>
  <si>
    <t>Rechtsgrundlage für die Berechungen</t>
  </si>
  <si>
    <t xml:space="preserve">Volzugshilfe "Deckungsbeitrags- und Trockensubstanzkriterium nach Art. 36 RPV" </t>
  </si>
  <si>
    <t>Sömmerungszuschlag</t>
  </si>
  <si>
    <t>so ist pro Normalstoss gesömmertes Vieh ein Zuschlag von 16 dt (Dezitonnen)</t>
  </si>
  <si>
    <t>TS einzusetzen. Als Normalstoss gilt die Sömmerung von 1 Grossvieheinheit während</t>
  </si>
  <si>
    <t>einer Dauer von 100 Tagen.</t>
  </si>
  <si>
    <t>Wird die Sömmerung im Rahmen des TS-Potenzials berücksichtigt,</t>
  </si>
  <si>
    <t>Hochstammbäume werde berücksichtigt, indem bei den Flächen für Dauerkulturen in der Zone der Hochstammbäume 0.5 Aren angerechnet werden (und beim übrigen Dauergrünland, resp. dem Dauergünland abgezogen wird).</t>
  </si>
  <si>
    <t>abgesetzte Ferkel</t>
  </si>
  <si>
    <t>Mastschweine/Remonten</t>
  </si>
  <si>
    <t xml:space="preserve">Truten </t>
  </si>
  <si>
    <t>jeden Alters</t>
  </si>
  <si>
    <t>Mastpoulets</t>
  </si>
  <si>
    <t>Zuchthennen und -hähne</t>
  </si>
  <si>
    <t>Lege- und Mastlinien</t>
  </si>
  <si>
    <r>
      <t>Mutterkuh</t>
    </r>
    <r>
      <rPr>
        <sz val="11"/>
        <rFont val="Arial"/>
        <family val="2"/>
      </rPr>
      <t xml:space="preserve"> (ohne Kälber)</t>
    </r>
  </si>
  <si>
    <t>Kälber von Mutterkühen</t>
  </si>
  <si>
    <t>Kälber zu Grossviehmast</t>
  </si>
  <si>
    <r>
      <t>Grossviehmast</t>
    </r>
    <r>
      <rPr>
        <sz val="11"/>
        <rFont val="Arial"/>
        <family val="2"/>
      </rPr>
      <t xml:space="preserve"> </t>
    </r>
  </si>
  <si>
    <t>Pflanzenbau</t>
  </si>
  <si>
    <t>TZ</t>
  </si>
  <si>
    <t>Fläche (ha)</t>
  </si>
  <si>
    <t>Maultiere und Maulesel</t>
  </si>
  <si>
    <t>Ponys, Esel, Kleinpferde</t>
  </si>
  <si>
    <t>5000 kg, Bio, Silozone</t>
  </si>
  <si>
    <t>7000 kg, Bio, Silozone</t>
  </si>
  <si>
    <t>5000 kg, Bio, verkäste Milch</t>
  </si>
  <si>
    <t>6000 kg, Bio, verkäste Milch</t>
  </si>
  <si>
    <t>unter 1-jährig (weiblich und männlich)</t>
  </si>
  <si>
    <t>geplante Tierhaltung</t>
  </si>
  <si>
    <t>Ergebnis: DB - Bilanz</t>
  </si>
  <si>
    <t>Ergebnis: TS - Bilanz</t>
  </si>
  <si>
    <t>Muttertier und Nachwuchs</t>
  </si>
  <si>
    <t>TS von Betriebsplanungsordner 2013</t>
  </si>
  <si>
    <t>TS analog KOLAS</t>
  </si>
  <si>
    <t>Datum / Bearbeitung</t>
  </si>
  <si>
    <t>DB von KOLAS</t>
  </si>
  <si>
    <t>Der TS-Deckungsgrad muss mind. 50 % aufweisen, da der DB bodenabhängig grösser ist als der DB bodenunabhängig.</t>
  </si>
  <si>
    <t>Hochstammbäume (Anzahl)*</t>
  </si>
  <si>
    <t>Fläche mit Dauerkulturen*</t>
  </si>
  <si>
    <t>Ergebnis Text (DB, TS)</t>
  </si>
  <si>
    <t>Ergebnis Text (TS)</t>
  </si>
  <si>
    <r>
      <t xml:space="preserve">Der Betrieb </t>
    </r>
    <r>
      <rPr>
        <b/>
        <sz val="11"/>
        <color theme="1"/>
        <rFont val="Arial"/>
        <family val="2"/>
      </rPr>
      <t>erfüllt</t>
    </r>
    <r>
      <rPr>
        <sz val="11"/>
        <color theme="1"/>
        <rFont val="Arial"/>
        <family val="2"/>
      </rPr>
      <t xml:space="preserve"> (nach der Aufstockung) die Kriterien der inneren Aufstockung gemäss Art. 36 RPV </t>
    </r>
    <r>
      <rPr>
        <b/>
        <sz val="11"/>
        <color theme="1"/>
        <rFont val="Arial"/>
        <family val="2"/>
      </rPr>
      <t xml:space="preserve">nicht, </t>
    </r>
    <r>
      <rPr>
        <sz val="11"/>
        <color theme="1"/>
        <rFont val="Arial"/>
        <family val="2"/>
      </rPr>
      <t>da der TS-Deckungsgrad kleiner als 50 % ist.</t>
    </r>
  </si>
  <si>
    <r>
      <t xml:space="preserve">Der Betrieb </t>
    </r>
    <r>
      <rPr>
        <b/>
        <sz val="11"/>
        <color theme="1"/>
        <rFont val="Arial"/>
        <family val="2"/>
      </rPr>
      <t>erfüllt</t>
    </r>
    <r>
      <rPr>
        <sz val="11"/>
        <color theme="1"/>
        <rFont val="Arial"/>
        <family val="2"/>
      </rPr>
      <t xml:space="preserve"> (nach der Aufstockung) die Kriterien der inneren Aufstockung gemäss Art. 36 RPV, da der TS-Deckungsgrad grösser als 70 % ist.</t>
    </r>
  </si>
  <si>
    <t>* Hochstammbäume werden à 0.5 Aren bei den Dauerkulturen angerechnet und entsprechend beim übrigen Dauergrünland abgezogen.</t>
  </si>
  <si>
    <t>Jungpferde</t>
  </si>
  <si>
    <t xml:space="preserve">ÖLN intensiv </t>
  </si>
  <si>
    <t>ÖLN intensiv</t>
  </si>
  <si>
    <t xml:space="preserve">Bio </t>
  </si>
  <si>
    <t>Bio, Weide-Beef, je Platz und Jahr</t>
  </si>
  <si>
    <t>Vollmilchmast, je Platz und Jahr</t>
  </si>
  <si>
    <t>Kombi-Mast, je Platz und Jahr</t>
  </si>
  <si>
    <t>ha</t>
  </si>
  <si>
    <t>ÖLN intensiv, eingeführt</t>
  </si>
  <si>
    <t>Bio, eingeführt</t>
  </si>
  <si>
    <t>Bio, stehend ab Feld</t>
  </si>
  <si>
    <t>bodenunabhängige Tierhaltung</t>
  </si>
  <si>
    <t>bodenabhängige Tierhaltung</t>
  </si>
  <si>
    <t>über 3-jährig, ohne Pensionspferde</t>
  </si>
  <si>
    <t>DB je Einheit
(Fr.)</t>
  </si>
  <si>
    <t>Jungvieh &gt; 730 Tage</t>
  </si>
  <si>
    <t>Jungvieh 365 - 730 Tage</t>
  </si>
  <si>
    <t>Jungvieh 160 - 365 Tage</t>
  </si>
  <si>
    <t>&lt; 160 Tage</t>
  </si>
  <si>
    <t>Aufzucht unter 160 Tage</t>
  </si>
  <si>
    <t>Betrieb</t>
  </si>
  <si>
    <t>TS - Bedarf (dt TS)</t>
  </si>
  <si>
    <t>TS-Bedarf je Einheit (dt/J.)</t>
  </si>
  <si>
    <t>DB 
gesamt
(Fr.)</t>
  </si>
  <si>
    <t>TS-Bedarf gesamt
(dt/J.)</t>
  </si>
  <si>
    <t>DB je Einheit (Fr.)</t>
  </si>
  <si>
    <t>DB gesamt (Fr.)</t>
  </si>
  <si>
    <t>TS-Potential je Einheit (dt)</t>
  </si>
  <si>
    <t>6'000 Plätze, BTS</t>
  </si>
  <si>
    <t>12'000 Plätze, BTS</t>
  </si>
  <si>
    <t>Aufzucht</t>
  </si>
  <si>
    <t>nicht säugend, über 6 Mt.</t>
  </si>
  <si>
    <t>inkl. Remonten</t>
  </si>
  <si>
    <t>eigene Aufzucht, &gt; 2 J., trächtig</t>
  </si>
  <si>
    <t>7'000 kg Silozone</t>
  </si>
  <si>
    <t>&gt; 7'000 kg Silozone</t>
  </si>
  <si>
    <t>6'000 kg verkäste Milch</t>
  </si>
  <si>
    <t>8'000 kg verkäste Milch</t>
  </si>
  <si>
    <t>Natura-Beef</t>
  </si>
  <si>
    <t>Muni, je Platz + Jahr</t>
  </si>
  <si>
    <t xml:space="preserve"> -</t>
  </si>
  <si>
    <t>Bio-Freiland Mobilstall</t>
  </si>
  <si>
    <t>5 - Jahresmittel</t>
  </si>
  <si>
    <t>Sömmerung (Normalstösse)</t>
  </si>
  <si>
    <t>nein</t>
  </si>
  <si>
    <t>DB bodenunabhängig (Fr.)</t>
  </si>
  <si>
    <t>Tafeläpfel</t>
  </si>
  <si>
    <t xml:space="preserve">Jungschafe </t>
  </si>
  <si>
    <t>unter 1-jährig</t>
  </si>
  <si>
    <t>Pensionspferde</t>
  </si>
  <si>
    <t>Damhirsche</t>
  </si>
  <si>
    <t>Rothirsche</t>
  </si>
  <si>
    <t>über 3-jährig</t>
  </si>
  <si>
    <t>Pferde (Zucht, Hobby)</t>
  </si>
  <si>
    <t>ja</t>
  </si>
  <si>
    <t>Pferdehaltung</t>
  </si>
  <si>
    <t>Hügelzone</t>
  </si>
  <si>
    <t>Bergzone I</t>
  </si>
  <si>
    <t>Bergzone II</t>
  </si>
  <si>
    <t>Talzone</t>
  </si>
  <si>
    <t>Bergzone III</t>
  </si>
  <si>
    <t>Bergzone IV</t>
  </si>
  <si>
    <t>Raufutterfläche effektiv vorhanden (vgl. GELAN)</t>
  </si>
  <si>
    <t>Raufutterproduktion Pferdehaltung</t>
  </si>
  <si>
    <t>tot. Fläche (LN)
(ha) ink. "Pferde"</t>
  </si>
  <si>
    <t>ÖLN
ha / Pferd 
(29.2 dt TS/a)</t>
  </si>
  <si>
    <t>BIO
ha / Pferd 
(29.2 dt TS/a)</t>
  </si>
  <si>
    <t>Zone Raufutterproduktion</t>
  </si>
  <si>
    <t>Hügelgebiet</t>
  </si>
  <si>
    <t>(wenn in mehreren Zonen, % angeben)</t>
  </si>
  <si>
    <t>Flächenbedarf (ha)</t>
  </si>
  <si>
    <t>Anteil (%)</t>
  </si>
  <si>
    <t>detaillierter Nachweis, z.B. Suisse-Bilanz</t>
  </si>
  <si>
    <t>ha / Pferd 
(29.2 dt TS/a)</t>
  </si>
  <si>
    <t>Hilfsberechnung Flächenbedarf für ein Pferd (Berechnung)</t>
  </si>
  <si>
    <t>Talgebiet</t>
  </si>
  <si>
    <r>
      <t>Die Pferdehaltung erfüllt die Voraussetzungen an die überwiegend betriebseigene Futtergrundlage</t>
    </r>
    <r>
      <rPr>
        <sz val="11"/>
        <color theme="1"/>
        <rFont val="Arial"/>
        <family val="2"/>
      </rPr>
      <t>.</t>
    </r>
  </si>
  <si>
    <r>
      <t>Die Pferdehaltung erfüllt die Voraussetzungen an die überwiegend betriebseigene Futtergrundlage nicht</t>
    </r>
    <r>
      <rPr>
        <u/>
        <sz val="11"/>
        <color theme="1"/>
        <rFont val="Arial"/>
        <family val="2"/>
      </rPr>
      <t>.</t>
    </r>
  </si>
  <si>
    <t>Ergebnis (Text)</t>
  </si>
  <si>
    <t>Ergebnis pauschale Beurteilung (Berechnung)</t>
  </si>
  <si>
    <t>Ergebnis detaillierte Beurteilung (Berechnung)</t>
  </si>
  <si>
    <t>Berechnungsart (Liste)</t>
  </si>
  <si>
    <t>Hilfsauswertung Berechnungsart; "ja" = aufgrund ha, "nein" = detailliert</t>
  </si>
  <si>
    <t>Text Prozentrechnung</t>
  </si>
  <si>
    <t>(Summe muss 100% sein)</t>
  </si>
  <si>
    <t>(Fehler, Summe nicht 100%)</t>
  </si>
  <si>
    <t>Fehlermeldung: Text "effektiv vorhanden"</t>
  </si>
  <si>
    <t>Fehler, Fläche muss effektiv vorhanden sein</t>
  </si>
  <si>
    <t>Meldung Text</t>
  </si>
  <si>
    <t xml:space="preserve">Zeile nicht ausfüllen. </t>
  </si>
  <si>
    <t>Zelle von Eingabe übernommen</t>
  </si>
  <si>
    <t>Zelle noch nicht def.</t>
  </si>
  <si>
    <t>Berechnung</t>
  </si>
  <si>
    <t>Hilfsberechnung (detaillierte Berechnung)</t>
  </si>
  <si>
    <t>Hilfsberechnung II (detaillierte Berechnung)</t>
  </si>
  <si>
    <t>Bedarf Pferde-haltung (ha)</t>
  </si>
  <si>
    <t>TS-Potential nach Pferde (dt)</t>
  </si>
  <si>
    <t>Kulturart (Potential)</t>
  </si>
  <si>
    <t>übriges Dauergrünland*</t>
  </si>
  <si>
    <t>Hilfsberechnung (Hektarberechnung)</t>
  </si>
  <si>
    <t>Hilfsberechnung II (Hektoarberechnung)</t>
  </si>
  <si>
    <t>Total Landwirtschaftliche Nutzfläche (LN) / total TS-Potential nach Pferden</t>
  </si>
  <si>
    <r>
      <t xml:space="preserve">Raufutterproduktion </t>
    </r>
    <r>
      <rPr>
        <b/>
        <u/>
        <sz val="10"/>
        <color theme="1"/>
        <rFont val="Arial"/>
        <family val="2"/>
      </rPr>
      <t>nur</t>
    </r>
    <r>
      <rPr>
        <b/>
        <sz val="10"/>
        <color theme="1"/>
        <rFont val="Arial"/>
        <family val="2"/>
      </rPr>
      <t xml:space="preserve"> für Pferdehaltung</t>
    </r>
  </si>
  <si>
    <r>
      <t xml:space="preserve">Pferdehaltung
</t>
    </r>
    <r>
      <rPr>
        <sz val="7"/>
        <color theme="1"/>
        <rFont val="Arial"/>
        <family val="2"/>
      </rPr>
      <t>Art. 16a</t>
    </r>
    <r>
      <rPr>
        <vertAlign val="superscript"/>
        <sz val="7"/>
        <color theme="1"/>
        <rFont val="Arial"/>
        <family val="2"/>
      </rPr>
      <t xml:space="preserve">bis </t>
    </r>
    <r>
      <rPr>
        <sz val="7"/>
        <color theme="1"/>
        <rFont val="Arial"/>
        <family val="2"/>
      </rPr>
      <t>Abs. 1 RPG verlangt in jedem Fall eine überwiegend betriebseigene Futtergrundlage. Pferde dürfen nicht bodenunabhängig gehalten werden. Dementsprechend ist die Pferdehaltung speziell im Zusammenhang mit der Berechnung des DB/TS - Kriteriums zu berücksichtigen.</t>
    </r>
  </si>
  <si>
    <r>
      <t xml:space="preserve">Ergebnis Pferdehaltung </t>
    </r>
    <r>
      <rPr>
        <sz val="8"/>
        <color theme="1"/>
        <rFont val="Arial"/>
        <family val="2"/>
      </rPr>
      <t>(überwiegende betriebseigene Futtergrundlage gemäss Art. 16a</t>
    </r>
    <r>
      <rPr>
        <vertAlign val="superscript"/>
        <sz val="8"/>
        <color theme="1"/>
        <rFont val="Arial"/>
        <family val="2"/>
      </rPr>
      <t>bis</t>
    </r>
    <r>
      <rPr>
        <sz val="8"/>
        <color theme="1"/>
        <rFont val="Arial"/>
        <family val="2"/>
      </rPr>
      <t xml:space="preserve"> Abs. 1 RPG)</t>
    </r>
  </si>
  <si>
    <r>
      <t>Berechnung Innere Aufstockung</t>
    </r>
    <r>
      <rPr>
        <b/>
        <sz val="7"/>
        <color theme="1"/>
        <rFont val="Arial"/>
        <family val="2"/>
      </rPr>
      <t xml:space="preserve"> (nach Abzug Pferdehaltung)</t>
    </r>
  </si>
  <si>
    <t>Flächenbedarf für ein Pferd (bereits 70 %)</t>
  </si>
  <si>
    <t>Flächenbedarf für ein Pferd (bereits 100 %)</t>
  </si>
  <si>
    <t>Grundlage: Art. 19 abs. 3 LBV, vgl. Mail vom 21. Dezember 20156 des ARE</t>
  </si>
  <si>
    <t>ÖLN
ha / RGVE
Art. 19 LBV</t>
  </si>
  <si>
    <t>keine Unterscheidung, da im Biofutterbau ähnliche Erträge zu erwarten sind (geringe Einschränkung durch Düngung)</t>
  </si>
  <si>
    <t>Raufutterfläche in Zone effektiv vorhanden (gemäss GELAN)</t>
  </si>
  <si>
    <r>
      <t xml:space="preserve">Raufutterfläche in Zone effektiv vorhanden </t>
    </r>
    <r>
      <rPr>
        <sz val="7"/>
        <rFont val="Arial"/>
        <family val="2"/>
      </rPr>
      <t>(gemäss GELAN)</t>
    </r>
  </si>
  <si>
    <t>Pferde (Zucht)</t>
  </si>
  <si>
    <t>Berechnung (u.a. Bäume)</t>
  </si>
  <si>
    <t>Berechung</t>
  </si>
  <si>
    <t>1. Bäume abziehen</t>
  </si>
  <si>
    <t>2. Pferdebedarf abziehen</t>
  </si>
  <si>
    <t>Abzug Bäume</t>
  </si>
  <si>
    <t>Abzug Pferde</t>
  </si>
  <si>
    <t>Gesamter Abzug (Bäume, Pferde)</t>
  </si>
  <si>
    <t>Restfläche nach Abzug Bäume und Pferde</t>
  </si>
  <si>
    <t>TS-Potential nach Pferden</t>
  </si>
  <si>
    <t>pauschale Berechnung</t>
  </si>
  <si>
    <t>TS-Produktion (total dt TS/a)</t>
  </si>
  <si>
    <t>benötigte Fläche (ha)</t>
  </si>
  <si>
    <t>für die TS-Produktion total</t>
  </si>
  <si>
    <t>detaillierter Nachweis</t>
  </si>
  <si>
    <r>
      <t>Fläche effektiv vorhanden</t>
    </r>
    <r>
      <rPr>
        <sz val="7"/>
        <rFont val="Arial"/>
        <family val="2"/>
      </rPr>
      <t xml:space="preserve"> (gemäss Zonenangaben)</t>
    </r>
  </si>
  <si>
    <t>Pauschale pro ha</t>
  </si>
  <si>
    <t xml:space="preserve">4-jährig, ÖLN </t>
  </si>
  <si>
    <t>ÖLN</t>
  </si>
  <si>
    <t>4-jährig, Bio</t>
  </si>
  <si>
    <t>Bio, Freilandhaltung, ohne Junghennen</t>
  </si>
  <si>
    <r>
      <t>15 Stück / m</t>
    </r>
    <r>
      <rPr>
        <vertAlign val="superscript"/>
        <sz val="9"/>
        <rFont val="Arial"/>
        <family val="2"/>
      </rPr>
      <t>2</t>
    </r>
  </si>
  <si>
    <t>mit Nebenprodukten</t>
  </si>
  <si>
    <t>säugend, inkl. Ferkel</t>
  </si>
  <si>
    <t>TS von Kolas</t>
  </si>
  <si>
    <t>Abferkel-, Aufzuchtbetrieb</t>
  </si>
  <si>
    <t>AFP</t>
  </si>
  <si>
    <t>Deckbetrieb</t>
  </si>
  <si>
    <t>Kriterien innere Aufstockung im Bereich der Tierhaltung gemäss Art. 36 RPV</t>
  </si>
  <si>
    <t xml:space="preserve">Das Bundesgericht hat im Entscheid BGE_1C_426/2016 entschieden, dass das Deckungsbeitragskriterium alleine nicht genügt, damit ein Betrieb als überwiegend bodenabhängig beurteilt werden kann. Die vorliegende Arbeitshilfe berücksichtigt das Bundesgerichtsurteil BGE_1C_426/2016 vom 23. August 2017 und ist als Ergänzung zur bisherigen DB/TS-Berechung zu berücksichtigen resp. auszufüllen. </t>
  </si>
  <si>
    <t>Fälle</t>
  </si>
  <si>
    <t>Die DB/TS-Berechnung für ein konkretes Vorhaben bildet die Ausgangslage. Bei der Beurteilung ist zwischen folgenden Fällen zu unterscheiden:</t>
  </si>
  <si>
    <t>Fall A</t>
  </si>
  <si>
    <t xml:space="preserve">Nach der geplanten inneren Aufstockung sind kumulativ: </t>
  </si>
  <si>
    <r>
      <t xml:space="preserve">- der Deckungsbeitrag bodenabhängig  </t>
    </r>
    <r>
      <rPr>
        <u/>
        <sz val="10"/>
        <color theme="1"/>
        <rFont val="Arial"/>
        <family val="2"/>
      </rPr>
      <t>grösser</t>
    </r>
    <r>
      <rPr>
        <sz val="10"/>
        <color theme="1"/>
        <rFont val="Arial"/>
        <family val="2"/>
      </rPr>
      <t xml:space="preserve"> als der Deckungsbeitrag boden</t>
    </r>
    <r>
      <rPr>
        <b/>
        <u/>
        <sz val="10"/>
        <color theme="1"/>
        <rFont val="Arial"/>
        <family val="2"/>
      </rPr>
      <t>un</t>
    </r>
    <r>
      <rPr>
        <sz val="10"/>
        <color theme="1"/>
        <rFont val="Arial"/>
        <family val="2"/>
      </rPr>
      <t>abhängig und</t>
    </r>
  </si>
  <si>
    <r>
      <t xml:space="preserve">- TS-Kriterium ist </t>
    </r>
    <r>
      <rPr>
        <u/>
        <sz val="10"/>
        <color theme="1"/>
        <rFont val="Arial"/>
        <family val="2"/>
      </rPr>
      <t>grösser</t>
    </r>
    <r>
      <rPr>
        <sz val="10"/>
        <color theme="1"/>
        <rFont val="Arial"/>
        <family val="2"/>
      </rPr>
      <t xml:space="preserve"> als 50 %</t>
    </r>
  </si>
  <si>
    <t>--&gt; Art. 16a Abs. 2 RPG erfüllt, Voraussetzungen von Art. 36 RPV erfüllt, bestehende Praxis beibehalten</t>
  </si>
  <si>
    <t>Fall B</t>
  </si>
  <si>
    <r>
      <t xml:space="preserve">- der Deckungsbeitrag bodenabhängig  </t>
    </r>
    <r>
      <rPr>
        <u/>
        <sz val="10"/>
        <color theme="1"/>
        <rFont val="Arial"/>
        <family val="2"/>
      </rPr>
      <t>kleiner</t>
    </r>
    <r>
      <rPr>
        <sz val="10"/>
        <color theme="1"/>
        <rFont val="Arial"/>
        <family val="2"/>
      </rPr>
      <t xml:space="preserve"> als der Deckungsbeitrag boden</t>
    </r>
    <r>
      <rPr>
        <b/>
        <u/>
        <sz val="10"/>
        <color theme="1"/>
        <rFont val="Arial"/>
        <family val="2"/>
      </rPr>
      <t>un</t>
    </r>
    <r>
      <rPr>
        <sz val="10"/>
        <color theme="1"/>
        <rFont val="Arial"/>
        <family val="2"/>
      </rPr>
      <t>abhängig und</t>
    </r>
  </si>
  <si>
    <r>
      <t xml:space="preserve">- TS-Kriterium ist </t>
    </r>
    <r>
      <rPr>
        <u/>
        <sz val="10"/>
        <color theme="1"/>
        <rFont val="Arial"/>
        <family val="2"/>
      </rPr>
      <t>kleiner</t>
    </r>
    <r>
      <rPr>
        <sz val="10"/>
        <color theme="1"/>
        <rFont val="Arial"/>
        <family val="2"/>
      </rPr>
      <t xml:space="preserve"> als 70 %</t>
    </r>
  </si>
  <si>
    <t>--&gt; Art. 16a Abs. 2 RPG nicht erfüllt, Voraussetzungen von Art. 36 RPV nicht erfüllt, bestehende Praxis beibehalten</t>
  </si>
  <si>
    <t>Fall C</t>
  </si>
  <si>
    <r>
      <t xml:space="preserve">- TS-Kriterium ist </t>
    </r>
    <r>
      <rPr>
        <u/>
        <sz val="10"/>
        <color theme="1"/>
        <rFont val="Arial"/>
        <family val="2"/>
      </rPr>
      <t>grösser</t>
    </r>
    <r>
      <rPr>
        <sz val="10"/>
        <color theme="1"/>
        <rFont val="Arial"/>
        <family val="2"/>
      </rPr>
      <t xml:space="preserve"> als 70 %</t>
    </r>
  </si>
  <si>
    <t>--&gt; weitere Prüfkriterien nötig, Matrix muss erfüllt sein</t>
  </si>
  <si>
    <t xml:space="preserve">Matrix </t>
  </si>
  <si>
    <t>Resultate DB/TS Berechnung</t>
  </si>
  <si>
    <t>Bezeichnungen</t>
  </si>
  <si>
    <t xml:space="preserve">Kriterium </t>
  </si>
  <si>
    <t>Gewichtung</t>
  </si>
  <si>
    <t>Bewertung (Punkte)</t>
  </si>
  <si>
    <r>
      <t>Verhältnis DB boden</t>
    </r>
    <r>
      <rPr>
        <b/>
        <sz val="10"/>
        <color theme="1"/>
        <rFont val="Arial"/>
        <family val="2"/>
      </rPr>
      <t>un</t>
    </r>
    <r>
      <rPr>
        <sz val="10"/>
        <color theme="1"/>
        <rFont val="Arial"/>
        <family val="2"/>
      </rPr>
      <t>abhängig / DB bodenabhängig</t>
    </r>
  </si>
  <si>
    <t>1 bis 3</t>
  </si>
  <si>
    <t>3 bis 5</t>
  </si>
  <si>
    <t>&gt; 5</t>
  </si>
  <si>
    <r>
      <t>Unterschied DB boden</t>
    </r>
    <r>
      <rPr>
        <b/>
        <sz val="10"/>
        <color theme="1"/>
        <rFont val="Arial"/>
        <family val="2"/>
      </rPr>
      <t>un</t>
    </r>
    <r>
      <rPr>
        <sz val="10"/>
        <color theme="1"/>
        <rFont val="Arial"/>
        <family val="2"/>
      </rPr>
      <t>abhängig / DB bodenabhängig</t>
    </r>
  </si>
  <si>
    <t>0 bis 50'000.-</t>
  </si>
  <si>
    <t>50'000.- bis 100'000.-</t>
  </si>
  <si>
    <t>&gt; 100'000.-</t>
  </si>
  <si>
    <t>TS - Deckungsgrad</t>
  </si>
  <si>
    <t>&gt; 140 %</t>
  </si>
  <si>
    <t>100 - 140 %</t>
  </si>
  <si>
    <t>70 - 100%</t>
  </si>
  <si>
    <t>Gebäudeflächen bodenabhängige Produktion im Vergleich zur Gebäudefläche der bodenunabhängige Produktion</t>
  </si>
  <si>
    <t>bodenabhängig Gebäudefläche deutlich grösser</t>
  </si>
  <si>
    <t>ungefähr 
gleich</t>
  </si>
  <si>
    <t>bodenunabhängig Gebäudefläche deutlich grösser</t>
  </si>
  <si>
    <t>Verhältnis SAK bodenabhängig / SAK bodenunabhängig</t>
  </si>
  <si>
    <t>Arbeitszeit bodenabhängig / bodenunabhängige Betriebszweige gemäss Arbeitsvoranschlag BETVOR</t>
  </si>
  <si>
    <t>&gt; 1</t>
  </si>
  <si>
    <t>1 bis 0.50</t>
  </si>
  <si>
    <t>&lt; 0.50</t>
  </si>
  <si>
    <t>Total</t>
  </si>
  <si>
    <t>effektiver Wert Betrieb</t>
  </si>
  <si>
    <t>Bewertung Betrieb</t>
  </si>
  <si>
    <t>erreichter Wert Matix</t>
  </si>
  <si>
    <t>x</t>
  </si>
  <si>
    <t>y</t>
  </si>
  <si>
    <t>z</t>
  </si>
  <si>
    <t>bodenabhängige SAK grösser (&gt; 1.5)</t>
  </si>
  <si>
    <t>bodenunabhängige SAK grösser (&lt; 0.5)</t>
  </si>
  <si>
    <t>Begründungen, Bemerkungen</t>
  </si>
  <si>
    <t>60% des DB</t>
  </si>
  <si>
    <t>40% des DB</t>
  </si>
  <si>
    <t xml:space="preserve">Der TS-Deckungsgrad muss mind. 70 % aufweisen, da der DB bodenabhängig kleiner ist als der DB bodenunabhängig und der Landwirtschaftsbetrieb muss überwiegend bodenabhängig geführt werden. </t>
  </si>
  <si>
    <t>Text Matrix</t>
  </si>
  <si>
    <t xml:space="preserve">Der DB bodenabhängig ist kleiner als der DB bodenunabhängig. Es ist mir Hilfe der Matrix zu prüfen, ob es sich beim landwirtschaftlichen Betrieb überwiegend um einen bodenabhängig geführten Betrieb handelt, d.h. die bodenunabhängige Produktion ist bei einer gesamthaften Betrachtung gegenüber der bodenabhängigen Produktion untergeordnet. </t>
  </si>
  <si>
    <t>Zusatzbeurteilung Bundesgerichtsurteil vom Herbst 2017</t>
  </si>
  <si>
    <t>Eine Zusatzbeurteilung ist nicht erforderlich.</t>
  </si>
  <si>
    <t>Resultat Zusatzbeurteilung</t>
  </si>
  <si>
    <t>Erforderlichkeit</t>
  </si>
  <si>
    <t xml:space="preserve">Die Zusatzbeurteilung fällt positiv aus. Der bodenunabhängige Betriebsteil ist gegenüber den bodenabhängig geführten Betriebsteilen nach dem Bauvorhaben von untergeordneter Bedeutung.  </t>
  </si>
  <si>
    <t xml:space="preserve">Die Zusatzbeurteilung fällt negativ aus. Der bodenunabhängige Betriebsteil ist gegenüber den bodenabhängig geführten Betriebsteilen nach dem Bauvorhaben von übergeordneter Bedeutung.  </t>
  </si>
  <si>
    <t xml:space="preserve">Mindeswert, damit der Betrieb aufgrund einer gesamthaften Beurteilung überwiegend als bodenabhängig geführt beurteilt werden kann. </t>
  </si>
  <si>
    <t>kein entsprechender Anbau</t>
  </si>
  <si>
    <t>Anbau</t>
  </si>
  <si>
    <t>Anbau und Verwendung</t>
  </si>
  <si>
    <t xml:space="preserve">Anbau von Futter, welches für die bodenunabhängige Tierhaltung verwendet werden könnte / verwendet wird. </t>
  </si>
  <si>
    <t>Biologischer Landbau</t>
  </si>
  <si>
    <t>Bodenabhängige Tierhaltung (ertragsorientiert) vorhanden</t>
  </si>
  <si>
    <t>Hochstamm</t>
  </si>
  <si>
    <t>DB verwenden</t>
  </si>
  <si>
    <t>Aufzuchtvertrag</t>
  </si>
  <si>
    <t>Rinder / Ochsen</t>
  </si>
  <si>
    <t>Freilandgemüse</t>
  </si>
  <si>
    <t>Durchschnittswert</t>
  </si>
  <si>
    <t>pro Aufzuchtrind</t>
  </si>
  <si>
    <t>da 26 Monate auf dem Betrieb</t>
  </si>
  <si>
    <t>Fachstelle Boden</t>
  </si>
  <si>
    <t>Erstkalbealter 24 Monate, pro Platz und Jahr</t>
  </si>
  <si>
    <t>Erstkalbealter 28 Monate, pro Platz und 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</si>
</sst>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quot;Fr.&quot;\ #,##0"/>
    <numFmt numFmtId="167" formatCode="#,##0.0"/>
  </numFmts>
  <fonts count="42" x14ac:knownFonts="1">
    <font>
      <sz val="11"/>
      <color theme="1"/>
      <name val="Arial"/>
      <family val="2"/>
    </font>
    <font>
      <b/>
      <sz val="11"/>
      <color theme="1"/>
      <name val="Arial"/>
      <family val="2"/>
    </font>
    <font>
      <b/>
      <sz val="11"/>
      <name val="Arial"/>
      <family val="2"/>
    </font>
    <font>
      <b/>
      <sz val="14"/>
      <name val="Arial"/>
      <family val="2"/>
    </font>
    <font>
      <b/>
      <sz val="12"/>
      <name val="Arial"/>
      <family val="2"/>
    </font>
    <font>
      <b/>
      <sz val="9"/>
      <name val="Arial"/>
      <family val="2"/>
    </font>
    <font>
      <b/>
      <sz val="16"/>
      <color theme="1"/>
      <name val="Arial"/>
      <family val="2"/>
    </font>
    <font>
      <b/>
      <sz val="10"/>
      <name val="Arial"/>
      <family val="2"/>
    </font>
    <font>
      <sz val="10"/>
      <name val="Arial"/>
      <family val="2"/>
    </font>
    <font>
      <sz val="10"/>
      <color theme="1"/>
      <name val="Arial"/>
      <family val="2"/>
    </font>
    <font>
      <b/>
      <sz val="10"/>
      <color theme="1"/>
      <name val="Arial"/>
      <family val="2"/>
    </font>
    <font>
      <sz val="11"/>
      <color theme="1"/>
      <name val="Arial"/>
      <family val="2"/>
    </font>
    <font>
      <sz val="11"/>
      <name val="Arial"/>
      <family val="2"/>
    </font>
    <font>
      <sz val="9"/>
      <name val="Arial"/>
      <family val="2"/>
    </font>
    <font>
      <i/>
      <sz val="11"/>
      <name val="Arial"/>
      <family val="2"/>
    </font>
    <font>
      <sz val="9"/>
      <color theme="1"/>
      <name val="Arial"/>
      <family val="2"/>
    </font>
    <font>
      <b/>
      <sz val="12"/>
      <color theme="1"/>
      <name val="Arial"/>
      <family val="2"/>
    </font>
    <font>
      <b/>
      <sz val="20"/>
      <color theme="1"/>
      <name val="Arial"/>
      <family val="2"/>
    </font>
    <font>
      <b/>
      <sz val="9"/>
      <color theme="1"/>
      <name val="Arial"/>
      <family val="2"/>
    </font>
    <font>
      <sz val="7"/>
      <color theme="1"/>
      <name val="Arial"/>
      <family val="2"/>
    </font>
    <font>
      <sz val="8"/>
      <color theme="1"/>
      <name val="Arial"/>
      <family val="2"/>
    </font>
    <font>
      <i/>
      <sz val="9"/>
      <color theme="1"/>
      <name val="Arial"/>
      <family val="2"/>
    </font>
    <font>
      <i/>
      <sz val="9"/>
      <name val="Arial"/>
      <family val="2"/>
    </font>
    <font>
      <b/>
      <i/>
      <sz val="9"/>
      <color theme="1"/>
      <name val="Arial"/>
      <family val="2"/>
    </font>
    <font>
      <b/>
      <i/>
      <sz val="9"/>
      <name val="Arial"/>
      <family val="2"/>
    </font>
    <font>
      <b/>
      <i/>
      <sz val="11"/>
      <color theme="1"/>
      <name val="Arial"/>
      <family val="2"/>
    </font>
    <font>
      <sz val="9"/>
      <color indexed="81"/>
      <name val="Tahoma"/>
      <family val="2"/>
    </font>
    <font>
      <sz val="6"/>
      <name val="Arial"/>
      <family val="2"/>
    </font>
    <font>
      <i/>
      <sz val="11"/>
      <color theme="1"/>
      <name val="Arial"/>
      <family val="2"/>
    </font>
    <font>
      <u/>
      <sz val="11"/>
      <color theme="1"/>
      <name val="Arial"/>
      <family val="2"/>
    </font>
    <font>
      <b/>
      <sz val="8"/>
      <color theme="1"/>
      <name val="Arial"/>
      <family val="2"/>
    </font>
    <font>
      <vertAlign val="superscript"/>
      <sz val="8"/>
      <color theme="1"/>
      <name val="Arial"/>
      <family val="2"/>
    </font>
    <font>
      <sz val="7"/>
      <name val="Arial"/>
      <family val="2"/>
    </font>
    <font>
      <sz val="11"/>
      <color rgb="FFFF0000"/>
      <name val="Arial"/>
      <family val="2"/>
    </font>
    <font>
      <b/>
      <u/>
      <sz val="10"/>
      <color theme="1"/>
      <name val="Arial"/>
      <family val="2"/>
    </font>
    <font>
      <vertAlign val="superscript"/>
      <sz val="7"/>
      <color theme="1"/>
      <name val="Arial"/>
      <family val="2"/>
    </font>
    <font>
      <b/>
      <sz val="7"/>
      <color theme="1"/>
      <name val="Arial"/>
      <family val="2"/>
    </font>
    <font>
      <i/>
      <sz val="10"/>
      <color theme="1"/>
      <name val="Arial"/>
      <family val="2"/>
    </font>
    <font>
      <vertAlign val="superscript"/>
      <sz val="9"/>
      <name val="Arial"/>
      <family val="2"/>
    </font>
    <font>
      <u/>
      <sz val="10"/>
      <color theme="1"/>
      <name val="Arial"/>
      <family val="2"/>
    </font>
    <font>
      <b/>
      <sz val="14"/>
      <color theme="1"/>
      <name val="Arial"/>
      <family val="2"/>
    </font>
    <font>
      <b/>
      <sz val="9"/>
      <color indexed="81"/>
      <name val="Tahoma"/>
      <family val="2"/>
    </font>
  </fonts>
  <fills count="11">
    <fill>
      <patternFill patternType="none"/>
    </fill>
    <fill>
      <patternFill patternType="gray125"/>
    </fill>
    <fill>
      <patternFill patternType="solid">
        <fgColor rgb="FFF3F3F3"/>
        <bgColor indexed="64"/>
      </patternFill>
    </fill>
    <fill>
      <patternFill patternType="solid">
        <fgColor rgb="FFEAEAEA"/>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9.9978637043366805E-2"/>
        <bgColor indexed="64"/>
      </patternFill>
    </fill>
    <fill>
      <patternFill patternType="solid">
        <fgColor theme="6" tint="0.79998168889431442"/>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5">
    <xf numFmtId="0" fontId="0"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cellStyleXfs>
  <cellXfs count="610">
    <xf numFmtId="0" fontId="0" fillId="0" borderId="0" xfId="0"/>
    <xf numFmtId="0" fontId="0" fillId="0" borderId="0" xfId="0" applyAlignment="1">
      <alignment vertical="center"/>
    </xf>
    <xf numFmtId="0" fontId="0" fillId="0" borderId="7" xfId="0" applyBorder="1"/>
    <xf numFmtId="0" fontId="0" fillId="0" borderId="1" xfId="0" applyBorder="1"/>
    <xf numFmtId="0" fontId="1" fillId="0" borderId="0" xfId="0" applyFont="1"/>
    <xf numFmtId="0" fontId="0" fillId="0" borderId="0" xfId="0" applyBorder="1"/>
    <xf numFmtId="0" fontId="8" fillId="0" borderId="0" xfId="0" applyFont="1"/>
    <xf numFmtId="0" fontId="8" fillId="0" borderId="0" xfId="0" applyFont="1" applyBorder="1" applyAlignment="1">
      <alignment horizontal="left"/>
    </xf>
    <xf numFmtId="0" fontId="0" fillId="0" borderId="0" xfId="0" applyAlignment="1">
      <alignment horizontal="center"/>
    </xf>
    <xf numFmtId="0" fontId="1" fillId="0" borderId="0" xfId="0" applyFont="1" applyAlignment="1">
      <alignment horizontal="center"/>
    </xf>
    <xf numFmtId="0" fontId="13" fillId="0" borderId="1" xfId="0" applyFont="1" applyBorder="1"/>
    <xf numFmtId="0" fontId="14" fillId="0" borderId="0" xfId="0" applyFont="1"/>
    <xf numFmtId="0" fontId="14" fillId="0" borderId="0" xfId="0" applyFont="1" applyAlignment="1">
      <alignment horizontal="center"/>
    </xf>
    <xf numFmtId="164" fontId="0" fillId="0" borderId="1" xfId="0" applyNumberFormat="1" applyBorder="1"/>
    <xf numFmtId="164" fontId="12" fillId="0" borderId="1" xfId="1" applyNumberFormat="1" applyFont="1" applyBorder="1"/>
    <xf numFmtId="164" fontId="0" fillId="0" borderId="1" xfId="1" applyNumberFormat="1" applyFont="1" applyBorder="1" applyAlignment="1">
      <alignment horizontal="right"/>
    </xf>
    <xf numFmtId="0" fontId="0" fillId="0" borderId="6" xfId="0" applyBorder="1"/>
    <xf numFmtId="0" fontId="13" fillId="0" borderId="6" xfId="0" applyFont="1" applyBorder="1"/>
    <xf numFmtId="164" fontId="0" fillId="0" borderId="6" xfId="0" applyNumberFormat="1" applyBorder="1"/>
    <xf numFmtId="164" fontId="12" fillId="0" borderId="6" xfId="1" applyNumberFormat="1" applyFont="1" applyBorder="1"/>
    <xf numFmtId="164" fontId="0" fillId="0" borderId="6" xfId="1" applyNumberFormat="1" applyFont="1" applyBorder="1" applyAlignment="1">
      <alignment horizontal="right"/>
    </xf>
    <xf numFmtId="0" fontId="1" fillId="0" borderId="0" xfId="0" applyFont="1" applyBorder="1" applyAlignment="1">
      <alignment horizontal="center"/>
    </xf>
    <xf numFmtId="164" fontId="0" fillId="0" borderId="8" xfId="0" applyNumberFormat="1" applyBorder="1"/>
    <xf numFmtId="164" fontId="0" fillId="0" borderId="0" xfId="0" applyNumberFormat="1" applyBorder="1"/>
    <xf numFmtId="0" fontId="12" fillId="0" borderId="1" xfId="0" applyFont="1" applyBorder="1"/>
    <xf numFmtId="164" fontId="0" fillId="0" borderId="1" xfId="1" applyNumberFormat="1" applyFont="1" applyBorder="1"/>
    <xf numFmtId="164" fontId="0" fillId="0" borderId="1" xfId="1" applyNumberFormat="1" applyFont="1" applyBorder="1" applyAlignment="1">
      <alignment horizontal="center"/>
    </xf>
    <xf numFmtId="0" fontId="0" fillId="0" borderId="1" xfId="0" applyBorder="1" applyAlignment="1">
      <alignment horizontal="center"/>
    </xf>
    <xf numFmtId="43" fontId="12" fillId="0" borderId="1" xfId="1" applyFont="1" applyBorder="1"/>
    <xf numFmtId="43" fontId="0" fillId="0" borderId="1" xfId="1" applyFont="1" applyBorder="1" applyAlignment="1">
      <alignment horizontal="right"/>
    </xf>
    <xf numFmtId="0" fontId="0" fillId="0" borderId="6" xfId="0" applyBorder="1" applyAlignment="1">
      <alignment horizontal="center"/>
    </xf>
    <xf numFmtId="0" fontId="12" fillId="0" borderId="6" xfId="0" applyFont="1" applyBorder="1"/>
    <xf numFmtId="43" fontId="12" fillId="0" borderId="6" xfId="1" applyFont="1" applyBorder="1"/>
    <xf numFmtId="0" fontId="0" fillId="0" borderId="6" xfId="0" applyBorder="1" applyAlignment="1">
      <alignment horizontal="right"/>
    </xf>
    <xf numFmtId="0" fontId="0" fillId="0" borderId="3" xfId="0" applyFill="1" applyBorder="1"/>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wrapText="1"/>
    </xf>
    <xf numFmtId="0" fontId="13" fillId="0" borderId="6" xfId="0" applyFont="1" applyFill="1" applyBorder="1"/>
    <xf numFmtId="0" fontId="0" fillId="0" borderId="5" xfId="0" applyBorder="1"/>
    <xf numFmtId="0" fontId="0" fillId="0" borderId="2" xfId="0" applyBorder="1"/>
    <xf numFmtId="0" fontId="0" fillId="0" borderId="3" xfId="0" applyBorder="1"/>
    <xf numFmtId="0" fontId="0" fillId="0" borderId="4" xfId="0" applyBorder="1"/>
    <xf numFmtId="0" fontId="6" fillId="0" borderId="0" xfId="0" applyFont="1"/>
    <xf numFmtId="0" fontId="0" fillId="0" borderId="1" xfId="0" applyBorder="1" applyAlignment="1">
      <alignment horizontal="center"/>
    </xf>
    <xf numFmtId="164" fontId="12" fillId="0" borderId="0" xfId="1" applyNumberFormat="1" applyFont="1"/>
    <xf numFmtId="164" fontId="0" fillId="0" borderId="0" xfId="1" applyNumberFormat="1" applyFont="1" applyAlignment="1">
      <alignment horizontal="right"/>
    </xf>
    <xf numFmtId="164" fontId="0" fillId="0" borderId="0" xfId="1" applyNumberFormat="1" applyFont="1" applyAlignment="1">
      <alignment horizontal="center"/>
    </xf>
    <xf numFmtId="0" fontId="13" fillId="0" borderId="0" xfId="0" applyFont="1"/>
    <xf numFmtId="0" fontId="12" fillId="0" borderId="0" xfId="0" applyFont="1"/>
    <xf numFmtId="43" fontId="12" fillId="0" borderId="0" xfId="1" applyFont="1"/>
    <xf numFmtId="2" fontId="0" fillId="0" borderId="0" xfId="0" applyNumberFormat="1" applyAlignment="1">
      <alignment horizontal="right"/>
    </xf>
    <xf numFmtId="0" fontId="13" fillId="0" borderId="0" xfId="0" applyFont="1" applyBorder="1"/>
    <xf numFmtId="164" fontId="12" fillId="0" borderId="0" xfId="1" applyNumberFormat="1" applyFont="1" applyBorder="1"/>
    <xf numFmtId="164" fontId="0" fillId="0" borderId="0" xfId="1" applyNumberFormat="1" applyFont="1" applyBorder="1" applyAlignment="1">
      <alignment horizontal="right"/>
    </xf>
    <xf numFmtId="0" fontId="0" fillId="0" borderId="0" xfId="0" applyFill="1" applyBorder="1"/>
    <xf numFmtId="0" fontId="0" fillId="0" borderId="1" xfId="0" applyFill="1" applyBorder="1"/>
    <xf numFmtId="0" fontId="13" fillId="0" borderId="3" xfId="0" applyFont="1" applyBorder="1"/>
    <xf numFmtId="164" fontId="12" fillId="0" borderId="3" xfId="1" applyNumberFormat="1" applyFont="1" applyBorder="1"/>
    <xf numFmtId="164" fontId="0" fillId="0" borderId="3" xfId="1" applyNumberFormat="1" applyFont="1" applyBorder="1" applyAlignment="1">
      <alignment horizontal="right"/>
    </xf>
    <xf numFmtId="0" fontId="0" fillId="0" borderId="9" xfId="0" applyBorder="1"/>
    <xf numFmtId="164" fontId="0" fillId="0" borderId="6" xfId="1" applyNumberFormat="1" applyFont="1" applyBorder="1"/>
    <xf numFmtId="164" fontId="0" fillId="0" borderId="6" xfId="1" applyNumberFormat="1" applyFont="1" applyBorder="1" applyAlignment="1">
      <alignment horizontal="center"/>
    </xf>
    <xf numFmtId="164" fontId="0" fillId="0" borderId="0" xfId="1" applyNumberFormat="1" applyFont="1" applyBorder="1"/>
    <xf numFmtId="164" fontId="0" fillId="0" borderId="0" xfId="1" applyNumberFormat="1" applyFont="1" applyBorder="1" applyAlignment="1">
      <alignment horizontal="center"/>
    </xf>
    <xf numFmtId="0" fontId="12" fillId="0" borderId="0" xfId="0" applyFont="1" applyBorder="1"/>
    <xf numFmtId="43" fontId="0" fillId="0" borderId="6" xfId="1" applyFont="1" applyBorder="1" applyAlignment="1">
      <alignment horizontal="right"/>
    </xf>
    <xf numFmtId="43" fontId="0" fillId="0" borderId="1" xfId="0" applyNumberFormat="1" applyBorder="1"/>
    <xf numFmtId="2" fontId="0" fillId="0" borderId="0" xfId="0" applyNumberFormat="1" applyBorder="1" applyAlignment="1">
      <alignment horizontal="right"/>
    </xf>
    <xf numFmtId="2" fontId="0" fillId="0" borderId="1" xfId="0" applyNumberFormat="1" applyBorder="1"/>
    <xf numFmtId="0" fontId="13" fillId="0" borderId="1" xfId="0" applyFont="1" applyFill="1" applyBorder="1"/>
    <xf numFmtId="0" fontId="13" fillId="0" borderId="0" xfId="0" applyFont="1" applyFill="1" applyBorder="1"/>
    <xf numFmtId="0" fontId="0" fillId="0" borderId="0" xfId="0" applyFill="1"/>
    <xf numFmtId="0" fontId="12" fillId="0" borderId="1" xfId="0" applyFont="1" applyFill="1" applyBorder="1"/>
    <xf numFmtId="0" fontId="0" fillId="0" borderId="5" xfId="0" applyFill="1" applyBorder="1"/>
    <xf numFmtId="0" fontId="13" fillId="0" borderId="7" xfId="0" applyFont="1" applyBorder="1"/>
    <xf numFmtId="0" fontId="0" fillId="0" borderId="4" xfId="0" applyFill="1" applyBorder="1"/>
    <xf numFmtId="0" fontId="0" fillId="0" borderId="7" xfId="0" applyFill="1" applyBorder="1"/>
    <xf numFmtId="165" fontId="13" fillId="0" borderId="1" xfId="0" applyNumberFormat="1" applyFont="1" applyFill="1" applyBorder="1"/>
    <xf numFmtId="43" fontId="13" fillId="0" borderId="1" xfId="1" applyNumberFormat="1" applyFont="1" applyFill="1" applyBorder="1"/>
    <xf numFmtId="0" fontId="13" fillId="0" borderId="0" xfId="0" applyFont="1" applyFill="1"/>
    <xf numFmtId="0" fontId="12" fillId="0" borderId="6" xfId="0" applyFont="1" applyFill="1" applyBorder="1"/>
    <xf numFmtId="0" fontId="12" fillId="0" borderId="0" xfId="0" applyFont="1" applyFill="1"/>
    <xf numFmtId="43" fontId="0" fillId="0" borderId="6" xfId="0" applyNumberFormat="1" applyBorder="1"/>
    <xf numFmtId="1" fontId="15" fillId="2" borderId="1" xfId="0" applyNumberFormat="1" applyFont="1" applyFill="1" applyBorder="1" applyAlignment="1" applyProtection="1">
      <alignment horizontal="center"/>
      <protection locked="0"/>
    </xf>
    <xf numFmtId="0" fontId="0" fillId="0" borderId="0" xfId="0" applyProtection="1"/>
    <xf numFmtId="0" fontId="2" fillId="0" borderId="0" xfId="0" applyFont="1" applyAlignment="1" applyProtection="1">
      <alignment horizontal="left" vertical="center" indent="4"/>
    </xf>
    <xf numFmtId="0" fontId="3" fillId="0" borderId="0" xfId="0" applyFont="1" applyAlignment="1" applyProtection="1">
      <alignment horizontal="right"/>
    </xf>
    <xf numFmtId="0" fontId="4" fillId="0" borderId="0" xfId="0" applyFont="1" applyAlignment="1" applyProtection="1">
      <alignment horizontal="right"/>
    </xf>
    <xf numFmtId="0" fontId="2" fillId="0" borderId="0" xfId="0" applyFont="1" applyProtection="1"/>
    <xf numFmtId="0" fontId="5" fillId="0" borderId="0" xfId="0" applyFont="1" applyAlignment="1" applyProtection="1">
      <alignment horizontal="left" indent="4"/>
    </xf>
    <xf numFmtId="0" fontId="7" fillId="0" borderId="2" xfId="0" applyFont="1" applyBorder="1" applyAlignment="1" applyProtection="1">
      <alignment vertical="center"/>
    </xf>
    <xf numFmtId="0" fontId="0" fillId="0" borderId="3" xfId="0"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10" fillId="0" borderId="0" xfId="0" applyFont="1" applyProtection="1"/>
    <xf numFmtId="0" fontId="9" fillId="0" borderId="0" xfId="0" applyFont="1" applyProtection="1"/>
    <xf numFmtId="0" fontId="15" fillId="0" borderId="1" xfId="0" applyFont="1" applyBorder="1" applyAlignment="1" applyProtection="1">
      <alignment horizontal="center"/>
    </xf>
    <xf numFmtId="0" fontId="13" fillId="0" borderId="1" xfId="0" applyFont="1" applyBorder="1" applyProtection="1"/>
    <xf numFmtId="3" fontId="15" fillId="0" borderId="1" xfId="0" applyNumberFormat="1" applyFont="1" applyBorder="1" applyProtection="1"/>
    <xf numFmtId="0" fontId="15" fillId="0" borderId="9" xfId="0" applyFont="1" applyBorder="1" applyAlignment="1" applyProtection="1">
      <alignment horizontal="center"/>
    </xf>
    <xf numFmtId="0" fontId="15" fillId="0" borderId="6" xfId="0" applyFont="1" applyFill="1" applyBorder="1" applyAlignment="1" applyProtection="1">
      <alignment horizontal="center"/>
    </xf>
    <xf numFmtId="3" fontId="15" fillId="0" borderId="6" xfId="0" applyNumberFormat="1" applyFont="1" applyFill="1" applyBorder="1" applyProtection="1"/>
    <xf numFmtId="0" fontId="15" fillId="0" borderId="10" xfId="0" applyFont="1" applyBorder="1" applyAlignment="1" applyProtection="1">
      <alignment horizontal="center"/>
    </xf>
    <xf numFmtId="0" fontId="9" fillId="0" borderId="0" xfId="0" applyFont="1" applyBorder="1" applyAlignment="1" applyProtection="1">
      <alignment horizontal="center"/>
    </xf>
    <xf numFmtId="0" fontId="8" fillId="0" borderId="0" xfId="0" applyFont="1" applyBorder="1" applyProtection="1"/>
    <xf numFmtId="0" fontId="0" fillId="0" borderId="0" xfId="0" applyBorder="1" applyProtection="1"/>
    <xf numFmtId="3" fontId="0" fillId="0" borderId="6" xfId="0" applyNumberFormat="1" applyBorder="1" applyProtection="1"/>
    <xf numFmtId="0" fontId="19" fillId="0" borderId="1" xfId="0" applyFont="1" applyBorder="1" applyProtection="1"/>
    <xf numFmtId="0" fontId="19" fillId="0" borderId="6" xfId="0" applyFont="1" applyFill="1" applyBorder="1" applyProtection="1"/>
    <xf numFmtId="0" fontId="13" fillId="0" borderId="6" xfId="0" applyFont="1" applyFill="1" applyBorder="1" applyProtection="1"/>
    <xf numFmtId="165" fontId="15" fillId="0" borderId="6" xfId="0" applyNumberFormat="1" applyFont="1" applyFill="1" applyBorder="1" applyProtection="1"/>
    <xf numFmtId="0" fontId="8" fillId="0" borderId="0" xfId="0" applyFont="1" applyProtection="1"/>
    <xf numFmtId="0" fontId="10" fillId="0" borderId="14" xfId="0" applyFont="1" applyBorder="1" applyProtection="1"/>
    <xf numFmtId="0" fontId="0" fillId="0" borderId="15" xfId="0" applyBorder="1" applyProtection="1"/>
    <xf numFmtId="0" fontId="8" fillId="0" borderId="21" xfId="0" applyFont="1" applyBorder="1" applyAlignment="1" applyProtection="1">
      <alignment horizontal="center"/>
    </xf>
    <xf numFmtId="0" fontId="8" fillId="0" borderId="0" xfId="0" applyFont="1" applyBorder="1" applyAlignment="1" applyProtection="1">
      <alignment horizontal="center"/>
    </xf>
    <xf numFmtId="0" fontId="0" fillId="0" borderId="21" xfId="0" applyBorder="1" applyProtection="1"/>
    <xf numFmtId="0" fontId="0" fillId="0" borderId="22" xfId="0" applyBorder="1" applyProtection="1"/>
    <xf numFmtId="0" fontId="10" fillId="0" borderId="21" xfId="0" applyFont="1" applyBorder="1" applyProtection="1"/>
    <xf numFmtId="0" fontId="7" fillId="0" borderId="0" xfId="0" applyFont="1" applyBorder="1" applyProtection="1"/>
    <xf numFmtId="0" fontId="0" fillId="0" borderId="0" xfId="0" applyBorder="1" applyAlignment="1" applyProtection="1">
      <alignment horizontal="center"/>
    </xf>
    <xf numFmtId="0" fontId="7" fillId="0" borderId="0" xfId="0" applyFont="1" applyBorder="1" applyAlignment="1" applyProtection="1">
      <alignment horizontal="center"/>
    </xf>
    <xf numFmtId="0" fontId="0" fillId="0" borderId="0" xfId="0" applyFill="1" applyProtection="1"/>
    <xf numFmtId="0" fontId="19" fillId="0" borderId="0" xfId="0" applyFont="1" applyBorder="1" applyProtection="1"/>
    <xf numFmtId="0" fontId="1" fillId="0" borderId="0" xfId="0" applyFont="1" applyBorder="1" applyAlignment="1" applyProtection="1">
      <alignment horizontal="center"/>
    </xf>
    <xf numFmtId="0" fontId="0" fillId="0" borderId="0" xfId="0" applyFill="1" applyBorder="1" applyAlignment="1" applyProtection="1">
      <alignment horizontal="left" vertical="center"/>
    </xf>
    <xf numFmtId="0" fontId="15" fillId="0" borderId="0" xfId="0" applyFont="1" applyAlignment="1" applyProtection="1">
      <alignment vertical="center"/>
    </xf>
    <xf numFmtId="0" fontId="19" fillId="0" borderId="0" xfId="0" applyFont="1" applyProtection="1"/>
    <xf numFmtId="0" fontId="19" fillId="0" borderId="0" xfId="0" applyFont="1" applyAlignment="1" applyProtection="1">
      <alignment vertical="top"/>
    </xf>
    <xf numFmtId="0" fontId="13" fillId="0" borderId="6" xfId="0" applyFont="1" applyBorder="1" applyProtection="1"/>
    <xf numFmtId="0" fontId="0" fillId="0" borderId="0" xfId="0" applyFill="1" applyBorder="1" applyProtection="1"/>
    <xf numFmtId="3" fontId="15" fillId="0" borderId="0" xfId="0" applyNumberFormat="1" applyFont="1" applyBorder="1" applyProtection="1"/>
    <xf numFmtId="0" fontId="15" fillId="0" borderId="0" xfId="0" applyFont="1" applyBorder="1" applyAlignment="1" applyProtection="1">
      <alignment horizontal="center"/>
    </xf>
    <xf numFmtId="0" fontId="13" fillId="0" borderId="3" xfId="0" applyFont="1" applyBorder="1" applyProtection="1"/>
    <xf numFmtId="0" fontId="8" fillId="0" borderId="0" xfId="0" applyFont="1" applyFill="1" applyBorder="1" applyProtection="1"/>
    <xf numFmtId="0" fontId="19" fillId="0" borderId="0" xfId="0" applyFont="1" applyBorder="1" applyAlignment="1" applyProtection="1">
      <alignment vertical="center"/>
    </xf>
    <xf numFmtId="3" fontId="15" fillId="0" borderId="0" xfId="0" applyNumberFormat="1" applyFont="1" applyBorder="1" applyAlignment="1" applyProtection="1">
      <alignment vertical="center"/>
    </xf>
    <xf numFmtId="0" fontId="13" fillId="0" borderId="0" xfId="0" applyFont="1" applyBorder="1" applyProtection="1"/>
    <xf numFmtId="0" fontId="18" fillId="0" borderId="1" xfId="0" applyFont="1" applyBorder="1" applyAlignment="1" applyProtection="1">
      <alignment horizontal="center" vertical="center"/>
    </xf>
    <xf numFmtId="0" fontId="18" fillId="0" borderId="6" xfId="0" applyFont="1" applyBorder="1" applyAlignment="1" applyProtection="1">
      <alignment horizontal="center" vertical="center"/>
    </xf>
    <xf numFmtId="0" fontId="15" fillId="0" borderId="7" xfId="0" applyFont="1" applyBorder="1" applyProtection="1"/>
    <xf numFmtId="0" fontId="13" fillId="0" borderId="0" xfId="0" applyFont="1" applyFill="1" applyBorder="1" applyAlignment="1" applyProtection="1">
      <alignment vertical="center"/>
    </xf>
    <xf numFmtId="0" fontId="19" fillId="0" borderId="0" xfId="0" applyFont="1" applyFill="1" applyBorder="1" applyAlignment="1" applyProtection="1">
      <alignment vertical="center"/>
    </xf>
    <xf numFmtId="165" fontId="15" fillId="0" borderId="0" xfId="0" applyNumberFormat="1" applyFont="1" applyFill="1" applyBorder="1" applyProtection="1"/>
    <xf numFmtId="3" fontId="15" fillId="0" borderId="0" xfId="0" applyNumberFormat="1" applyFont="1" applyFill="1" applyBorder="1" applyAlignment="1" applyProtection="1">
      <alignment vertical="center"/>
    </xf>
    <xf numFmtId="0" fontId="13" fillId="0" borderId="0" xfId="0" applyFont="1" applyBorder="1" applyAlignment="1" applyProtection="1"/>
    <xf numFmtId="0" fontId="15" fillId="0" borderId="0" xfId="0" applyFont="1" applyBorder="1" applyAlignment="1" applyProtection="1"/>
    <xf numFmtId="0" fontId="0" fillId="0" borderId="0" xfId="0" applyBorder="1" applyAlignment="1" applyProtection="1"/>
    <xf numFmtId="167" fontId="13" fillId="0" borderId="1" xfId="0" applyNumberFormat="1" applyFont="1" applyBorder="1" applyProtection="1"/>
    <xf numFmtId="4" fontId="13" fillId="0" borderId="1" xfId="0" applyNumberFormat="1" applyFont="1" applyBorder="1" applyProtection="1"/>
    <xf numFmtId="4" fontId="13" fillId="0" borderId="6" xfId="0" applyNumberFormat="1" applyFont="1" applyFill="1" applyBorder="1" applyProtection="1"/>
    <xf numFmtId="2" fontId="15" fillId="0" borderId="0" xfId="0" applyNumberFormat="1" applyFont="1" applyFill="1" applyBorder="1" applyAlignment="1" applyProtection="1">
      <alignment horizontal="center" vertical="center"/>
    </xf>
    <xf numFmtId="0" fontId="1" fillId="0" borderId="0" xfId="0" applyFont="1" applyProtection="1"/>
    <xf numFmtId="0" fontId="23" fillId="0" borderId="5" xfId="0" applyFont="1" applyBorder="1" applyAlignment="1" applyProtection="1">
      <alignment horizontal="left" vertical="center"/>
    </xf>
    <xf numFmtId="0" fontId="24" fillId="0" borderId="6" xfId="0" applyFont="1" applyBorder="1" applyAlignment="1" applyProtection="1">
      <alignment vertical="center"/>
    </xf>
    <xf numFmtId="0" fontId="25" fillId="0" borderId="6" xfId="0" applyFont="1" applyBorder="1" applyAlignment="1" applyProtection="1">
      <alignment vertical="center"/>
    </xf>
    <xf numFmtId="2" fontId="15" fillId="0" borderId="1" xfId="0" applyNumberFormat="1" applyFont="1" applyFill="1" applyBorder="1" applyAlignment="1" applyProtection="1">
      <alignment horizontal="center" vertical="center"/>
    </xf>
    <xf numFmtId="2" fontId="15" fillId="0" borderId="2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3" fontId="15" fillId="2" borderId="1" xfId="0" applyNumberFormat="1" applyFont="1" applyFill="1" applyBorder="1" applyAlignment="1" applyProtection="1">
      <alignment horizontal="right"/>
      <protection locked="0"/>
    </xf>
    <xf numFmtId="167" fontId="15" fillId="2" borderId="1" xfId="0" applyNumberFormat="1" applyFont="1" applyFill="1" applyBorder="1" applyAlignment="1" applyProtection="1">
      <alignment horizontal="right"/>
      <protection locked="0"/>
    </xf>
    <xf numFmtId="3" fontId="15" fillId="0" borderId="1" xfId="0" applyNumberFormat="1" applyFont="1" applyBorder="1" applyAlignment="1" applyProtection="1">
      <alignment horizontal="right"/>
    </xf>
    <xf numFmtId="3" fontId="15" fillId="2" borderId="1" xfId="0" applyNumberFormat="1" applyFont="1" applyFill="1" applyBorder="1" applyAlignment="1" applyProtection="1">
      <alignment horizontal="right" vertical="center"/>
      <protection locked="0"/>
    </xf>
    <xf numFmtId="2" fontId="15" fillId="2" borderId="1" xfId="0" applyNumberFormat="1" applyFont="1" applyFill="1" applyBorder="1" applyAlignment="1" applyProtection="1">
      <alignment horizontal="right" vertical="center"/>
      <protection locked="0"/>
    </xf>
    <xf numFmtId="2" fontId="15" fillId="0" borderId="6" xfId="0" applyNumberFormat="1" applyFont="1" applyFill="1" applyBorder="1" applyAlignment="1" applyProtection="1">
      <alignment horizontal="right"/>
    </xf>
    <xf numFmtId="2" fontId="15" fillId="0" borderId="6" xfId="0" applyNumberFormat="1" applyFont="1" applyFill="1" applyBorder="1" applyAlignment="1" applyProtection="1">
      <alignment horizontal="right" vertical="center"/>
    </xf>
    <xf numFmtId="2" fontId="15" fillId="0" borderId="0" xfId="0" applyNumberFormat="1" applyFont="1" applyFill="1" applyBorder="1" applyAlignment="1" applyProtection="1">
      <alignment horizontal="right" vertical="center"/>
    </xf>
    <xf numFmtId="2" fontId="15" fillId="2" borderId="1" xfId="0" applyNumberFormat="1" applyFont="1" applyFill="1" applyBorder="1" applyAlignment="1" applyProtection="1">
      <alignment horizontal="right"/>
      <protection locked="0"/>
    </xf>
    <xf numFmtId="2" fontId="15" fillId="2" borderId="9" xfId="0" applyNumberFormat="1" applyFont="1" applyFill="1" applyBorder="1" applyAlignment="1" applyProtection="1">
      <alignment horizontal="right"/>
      <protection locked="0"/>
    </xf>
    <xf numFmtId="2" fontId="15" fillId="2" borderId="10" xfId="0" applyNumberFormat="1" applyFont="1" applyFill="1" applyBorder="1" applyAlignment="1" applyProtection="1">
      <alignment horizontal="right"/>
      <protection locked="0"/>
    </xf>
    <xf numFmtId="2" fontId="0" fillId="0" borderId="20" xfId="0" applyNumberFormat="1" applyFill="1" applyBorder="1" applyAlignment="1" applyProtection="1">
      <alignment horizontal="right"/>
    </xf>
    <xf numFmtId="2" fontId="24" fillId="0" borderId="6" xfId="0" applyNumberFormat="1" applyFont="1" applyBorder="1" applyAlignment="1" applyProtection="1">
      <alignment horizontal="right" vertical="center"/>
    </xf>
    <xf numFmtId="3" fontId="15" fillId="0" borderId="6" xfId="0" applyNumberFormat="1" applyFont="1" applyFill="1" applyBorder="1" applyAlignment="1" applyProtection="1">
      <alignment horizontal="right"/>
    </xf>
    <xf numFmtId="0" fontId="15" fillId="0" borderId="0" xfId="0" applyFont="1" applyFill="1" applyBorder="1" applyAlignment="1" applyProtection="1">
      <alignment horizontal="right"/>
    </xf>
    <xf numFmtId="3" fontId="15" fillId="0" borderId="6" xfId="0" applyNumberFormat="1" applyFont="1" applyFill="1" applyBorder="1" applyAlignment="1" applyProtection="1">
      <alignment horizontal="right" vertical="center"/>
    </xf>
    <xf numFmtId="3" fontId="10" fillId="0" borderId="1" xfId="0" applyNumberFormat="1" applyFont="1" applyBorder="1" applyAlignment="1" applyProtection="1">
      <alignment horizontal="right"/>
    </xf>
    <xf numFmtId="1" fontId="15" fillId="2" borderId="1" xfId="0" applyNumberFormat="1" applyFont="1" applyFill="1" applyBorder="1" applyAlignment="1" applyProtection="1">
      <alignment horizontal="right" vertical="center"/>
      <protection locked="0"/>
    </xf>
    <xf numFmtId="167" fontId="13" fillId="0" borderId="1" xfId="0" applyNumberFormat="1" applyFont="1" applyBorder="1" applyAlignment="1" applyProtection="1">
      <alignment horizontal="right"/>
    </xf>
    <xf numFmtId="164" fontId="0" fillId="0" borderId="1" xfId="1" applyNumberFormat="1" applyFont="1" applyFill="1" applyBorder="1" applyAlignment="1">
      <alignment horizontal="right"/>
    </xf>
    <xf numFmtId="164" fontId="0" fillId="0" borderId="26" xfId="0" applyNumberFormat="1" applyBorder="1"/>
    <xf numFmtId="3" fontId="9" fillId="0" borderId="0" xfId="0" applyNumberFormat="1" applyFont="1" applyProtection="1"/>
    <xf numFmtId="167" fontId="9" fillId="0" borderId="0" xfId="0" applyNumberFormat="1" applyFont="1" applyProtection="1"/>
    <xf numFmtId="167" fontId="13" fillId="0" borderId="0" xfId="0" applyNumberFormat="1" applyFont="1" applyBorder="1" applyProtection="1"/>
    <xf numFmtId="3" fontId="15" fillId="0" borderId="0" xfId="0" applyNumberFormat="1" applyFont="1" applyFill="1" applyBorder="1" applyAlignment="1" applyProtection="1">
      <alignment horizontal="right"/>
      <protection locked="0"/>
    </xf>
    <xf numFmtId="0" fontId="13" fillId="0" borderId="0" xfId="0" applyFont="1" applyBorder="1" applyAlignment="1" applyProtection="1">
      <alignment horizontal="right"/>
    </xf>
    <xf numFmtId="0" fontId="28" fillId="0" borderId="0" xfId="0" applyFont="1" applyAlignment="1">
      <alignment wrapText="1"/>
    </xf>
    <xf numFmtId="0" fontId="28" fillId="0" borderId="0" xfId="0" applyFont="1"/>
    <xf numFmtId="3" fontId="9" fillId="0" borderId="0" xfId="0" applyNumberFormat="1" applyFont="1" applyBorder="1" applyProtection="1"/>
    <xf numFmtId="0" fontId="13" fillId="0" borderId="1" xfId="0" applyFont="1" applyBorder="1" applyAlignment="1" applyProtection="1"/>
    <xf numFmtId="0" fontId="0" fillId="0" borderId="1" xfId="0" applyBorder="1" applyAlignment="1"/>
    <xf numFmtId="0" fontId="18" fillId="0" borderId="1" xfId="0" applyFont="1" applyBorder="1" applyAlignment="1" applyProtection="1">
      <alignment horizontal="center" vertical="center" wrapText="1"/>
    </xf>
    <xf numFmtId="3" fontId="15" fillId="0" borderId="0" xfId="0" applyNumberFormat="1" applyFont="1" applyProtection="1"/>
    <xf numFmtId="0" fontId="20" fillId="0" borderId="1" xfId="0" applyFont="1" applyFill="1" applyBorder="1" applyAlignment="1" applyProtection="1">
      <alignment horizontal="center"/>
    </xf>
    <xf numFmtId="0" fontId="27" fillId="0" borderId="1" xfId="0" applyFont="1" applyBorder="1" applyAlignment="1" applyProtection="1"/>
    <xf numFmtId="0" fontId="28" fillId="0" borderId="0" xfId="0" applyFont="1" applyBorder="1" applyAlignment="1">
      <alignment wrapText="1"/>
    </xf>
    <xf numFmtId="0" fontId="13" fillId="0" borderId="5" xfId="0" applyFont="1" applyBorder="1" applyAlignment="1" applyProtection="1"/>
    <xf numFmtId="0" fontId="15" fillId="0" borderId="6" xfId="0" applyFont="1" applyBorder="1" applyAlignment="1" applyProtection="1"/>
    <xf numFmtId="2" fontId="15" fillId="0" borderId="1" xfId="0" applyNumberFormat="1" applyFont="1" applyBorder="1" applyAlignment="1" applyProtection="1">
      <alignment horizontal="center" vertical="center"/>
    </xf>
    <xf numFmtId="0" fontId="19" fillId="0" borderId="7" xfId="0" applyFont="1" applyBorder="1" applyAlignment="1" applyProtection="1">
      <alignment vertical="center"/>
    </xf>
    <xf numFmtId="0" fontId="20" fillId="0" borderId="1" xfId="0" applyFont="1" applyFill="1" applyBorder="1" applyAlignment="1" applyProtection="1">
      <alignment horizontal="center" vertical="center"/>
    </xf>
    <xf numFmtId="0" fontId="0" fillId="0" borderId="0" xfId="0" applyFont="1"/>
    <xf numFmtId="0" fontId="25" fillId="0" borderId="0" xfId="0" applyFont="1"/>
    <xf numFmtId="3" fontId="15" fillId="0" borderId="1" xfId="0" applyNumberFormat="1" applyFont="1" applyFill="1" applyBorder="1" applyAlignment="1" applyProtection="1">
      <alignment horizontal="right"/>
      <protection locked="0"/>
    </xf>
    <xf numFmtId="167" fontId="5" fillId="0" borderId="20" xfId="0" applyNumberFormat="1" applyFont="1" applyBorder="1" applyAlignment="1" applyProtection="1"/>
    <xf numFmtId="0" fontId="1" fillId="0" borderId="20" xfId="0" applyFont="1" applyBorder="1" applyAlignment="1"/>
    <xf numFmtId="0" fontId="9" fillId="0" borderId="20" xfId="0" applyFont="1" applyFill="1" applyBorder="1" applyAlignment="1" applyProtection="1">
      <alignment horizontal="center"/>
      <protection locked="0"/>
    </xf>
    <xf numFmtId="3" fontId="19" fillId="0" borderId="0" xfId="0" applyNumberFormat="1" applyFont="1" applyBorder="1" applyAlignment="1" applyProtection="1"/>
    <xf numFmtId="0" fontId="15" fillId="0" borderId="1" xfId="0" applyFont="1" applyFill="1" applyBorder="1" applyAlignment="1" applyProtection="1">
      <alignment horizontal="center" vertical="center"/>
    </xf>
    <xf numFmtId="0" fontId="0" fillId="0" borderId="0" xfId="0" applyAlignment="1" applyProtection="1"/>
    <xf numFmtId="167" fontId="5" fillId="0" borderId="0" xfId="0" applyNumberFormat="1" applyFont="1" applyBorder="1" applyAlignment="1" applyProtection="1">
      <alignment vertical="center"/>
    </xf>
    <xf numFmtId="0" fontId="0" fillId="2" borderId="1" xfId="0" applyFill="1" applyBorder="1"/>
    <xf numFmtId="0" fontId="13" fillId="0" borderId="1" xfId="0" applyFont="1" applyFill="1" applyBorder="1" applyAlignment="1" applyProtection="1">
      <alignment horizontal="left"/>
    </xf>
    <xf numFmtId="0" fontId="0" fillId="0" borderId="1" xfId="0" applyFill="1" applyBorder="1" applyAlignment="1">
      <alignment horizontal="left"/>
    </xf>
    <xf numFmtId="0" fontId="27" fillId="0" borderId="1" xfId="0" applyFont="1" applyFill="1" applyBorder="1" applyAlignment="1" applyProtection="1">
      <alignment horizontal="left"/>
    </xf>
    <xf numFmtId="0" fontId="0" fillId="0" borderId="0" xfId="0" applyBorder="1" applyAlignment="1"/>
    <xf numFmtId="0" fontId="0" fillId="0" borderId="6" xfId="0" applyBorder="1" applyAlignment="1"/>
    <xf numFmtId="0" fontId="27" fillId="0" borderId="6" xfId="0" applyFont="1" applyBorder="1" applyAlignment="1" applyProtection="1"/>
    <xf numFmtId="0" fontId="0" fillId="0" borderId="0" xfId="0" applyFill="1" applyAlignment="1" applyProtection="1"/>
    <xf numFmtId="0" fontId="33" fillId="0" borderId="0" xfId="0" applyFont="1" applyFill="1" applyBorder="1" applyProtection="1"/>
    <xf numFmtId="0" fontId="20" fillId="0" borderId="6" xfId="0" applyFont="1" applyFill="1" applyBorder="1" applyAlignment="1" applyProtection="1">
      <alignment horizontal="center"/>
    </xf>
    <xf numFmtId="0" fontId="13" fillId="0" borderId="3" xfId="0" applyFont="1" applyBorder="1" applyAlignment="1" applyProtection="1"/>
    <xf numFmtId="0" fontId="0" fillId="0" borderId="3" xfId="0" applyBorder="1" applyAlignment="1"/>
    <xf numFmtId="0" fontId="15" fillId="0" borderId="3" xfId="0" applyFont="1" applyFill="1" applyBorder="1" applyAlignment="1" applyProtection="1">
      <alignment horizontal="center" vertical="center"/>
    </xf>
    <xf numFmtId="167" fontId="13" fillId="5" borderId="1" xfId="0" applyNumberFormat="1" applyFont="1" applyFill="1" applyBorder="1" applyProtection="1"/>
    <xf numFmtId="2" fontId="15" fillId="5" borderId="1" xfId="0" applyNumberFormat="1" applyFont="1" applyFill="1" applyBorder="1" applyAlignment="1" applyProtection="1">
      <alignment horizontal="center" vertical="center"/>
    </xf>
    <xf numFmtId="0" fontId="15" fillId="6" borderId="1" xfId="0" applyFont="1" applyFill="1" applyBorder="1" applyAlignment="1" applyProtection="1">
      <alignment horizontal="center" vertical="center"/>
    </xf>
    <xf numFmtId="0" fontId="15" fillId="6" borderId="1" xfId="0" applyFont="1" applyFill="1" applyBorder="1" applyAlignment="1" applyProtection="1">
      <alignment horizontal="center"/>
    </xf>
    <xf numFmtId="9" fontId="15" fillId="6" borderId="1" xfId="0" applyNumberFormat="1" applyFont="1" applyFill="1" applyBorder="1" applyAlignment="1" applyProtection="1">
      <alignment horizontal="center" vertical="center"/>
    </xf>
    <xf numFmtId="3" fontId="15" fillId="6" borderId="1" xfId="0" applyNumberFormat="1" applyFont="1" applyFill="1" applyBorder="1" applyAlignment="1" applyProtection="1">
      <alignment horizontal="right"/>
      <protection locked="0"/>
    </xf>
    <xf numFmtId="0" fontId="7" fillId="0" borderId="0" xfId="0" applyFont="1" applyBorder="1" applyAlignment="1" applyProtection="1"/>
    <xf numFmtId="0" fontId="19" fillId="0" borderId="7" xfId="0" applyFont="1" applyBorder="1" applyProtection="1"/>
    <xf numFmtId="0" fontId="15" fillId="0" borderId="6" xfId="0" applyFont="1" applyBorder="1" applyAlignment="1" applyProtection="1"/>
    <xf numFmtId="0" fontId="7" fillId="7" borderId="0" xfId="0" applyFont="1" applyFill="1" applyBorder="1" applyAlignment="1" applyProtection="1"/>
    <xf numFmtId="0" fontId="15" fillId="0" borderId="5" xfId="0" applyFont="1" applyBorder="1" applyProtection="1"/>
    <xf numFmtId="3" fontId="15" fillId="0" borderId="7" xfId="0" applyNumberFormat="1" applyFont="1" applyBorder="1" applyProtection="1"/>
    <xf numFmtId="3" fontId="23" fillId="0" borderId="1" xfId="0" applyNumberFormat="1" applyFont="1" applyBorder="1" applyAlignment="1" applyProtection="1">
      <alignment vertical="center"/>
    </xf>
    <xf numFmtId="0" fontId="24" fillId="0" borderId="1" xfId="0" applyFont="1" applyBorder="1" applyAlignment="1" applyProtection="1">
      <alignment horizontal="right" vertical="center"/>
    </xf>
    <xf numFmtId="0" fontId="0" fillId="0" borderId="6" xfId="0" applyBorder="1" applyAlignment="1" applyProtection="1">
      <alignment vertical="center"/>
    </xf>
    <xf numFmtId="3" fontId="15" fillId="0" borderId="1" xfId="0" applyNumberFormat="1" applyFont="1" applyBorder="1" applyAlignment="1" applyProtection="1">
      <alignment vertical="center"/>
    </xf>
    <xf numFmtId="3" fontId="15" fillId="0" borderId="6" xfId="0" applyNumberFormat="1" applyFont="1" applyBorder="1" applyAlignment="1" applyProtection="1">
      <alignment vertical="center"/>
    </xf>
    <xf numFmtId="0" fontId="0" fillId="0" borderId="0" xfId="0" applyBorder="1" applyAlignment="1" applyProtection="1">
      <alignment vertical="center"/>
    </xf>
    <xf numFmtId="0" fontId="13" fillId="0" borderId="0" xfId="0" applyFont="1" applyBorder="1" applyAlignment="1" applyProtection="1">
      <alignment vertical="center"/>
    </xf>
    <xf numFmtId="0" fontId="18" fillId="0" borderId="1" xfId="0" applyFont="1" applyBorder="1" applyAlignment="1" applyProtection="1">
      <alignment horizontal="center" vertical="center" wrapText="1"/>
    </xf>
    <xf numFmtId="3" fontId="15" fillId="0" borderId="1" xfId="0" applyNumberFormat="1" applyFont="1" applyBorder="1" applyAlignment="1" applyProtection="1">
      <alignment horizontal="right" vertical="center"/>
    </xf>
    <xf numFmtId="0" fontId="15" fillId="0" borderId="0" xfId="0" applyFont="1" applyBorder="1" applyAlignment="1" applyProtection="1">
      <alignment vertical="center"/>
    </xf>
    <xf numFmtId="0" fontId="7" fillId="0" borderId="5" xfId="0" applyFont="1" applyBorder="1" applyAlignment="1" applyProtection="1"/>
    <xf numFmtId="3" fontId="15" fillId="5" borderId="1" xfId="0" applyNumberFormat="1" applyFont="1" applyFill="1" applyBorder="1" applyAlignment="1" applyProtection="1">
      <alignment horizontal="center"/>
      <protection locked="0"/>
    </xf>
    <xf numFmtId="0" fontId="7" fillId="7" borderId="1" xfId="0" applyFont="1" applyFill="1" applyBorder="1" applyAlignment="1" applyProtection="1"/>
    <xf numFmtId="0" fontId="7" fillId="0" borderId="0" xfId="0" applyFont="1" applyFill="1" applyBorder="1" applyAlignment="1" applyProtection="1"/>
    <xf numFmtId="2" fontId="1" fillId="0" borderId="1" xfId="0" applyNumberFormat="1" applyFont="1" applyBorder="1" applyProtection="1"/>
    <xf numFmtId="3" fontId="15" fillId="0" borderId="1" xfId="0" applyNumberFormat="1" applyFont="1" applyFill="1" applyBorder="1" applyProtection="1"/>
    <xf numFmtId="0" fontId="18" fillId="0" borderId="25" xfId="0" applyFont="1" applyBorder="1" applyAlignment="1" applyProtection="1">
      <alignment horizontal="center" vertical="center"/>
    </xf>
    <xf numFmtId="0" fontId="15" fillId="2" borderId="25" xfId="0" applyFont="1" applyFill="1" applyBorder="1" applyAlignment="1" applyProtection="1">
      <alignment horizontal="center" vertical="center"/>
      <protection locked="0"/>
    </xf>
    <xf numFmtId="0" fontId="15" fillId="0" borderId="0" xfId="0" applyFont="1" applyFill="1" applyBorder="1" applyAlignment="1" applyProtection="1">
      <alignment vertical="center"/>
    </xf>
    <xf numFmtId="0" fontId="0" fillId="0" borderId="3" xfId="0" applyBorder="1" applyAlignment="1" applyProtection="1"/>
    <xf numFmtId="0" fontId="9" fillId="0" borderId="0" xfId="0" applyFont="1"/>
    <xf numFmtId="0" fontId="0" fillId="5" borderId="1" xfId="0" applyFill="1" applyBorder="1"/>
    <xf numFmtId="0" fontId="0" fillId="0" borderId="3" xfId="0" applyFill="1" applyBorder="1" applyAlignment="1" applyProtection="1">
      <alignment vertical="center"/>
    </xf>
    <xf numFmtId="0" fontId="13" fillId="0" borderId="0" xfId="0" applyFont="1" applyFill="1" applyBorder="1" applyAlignment="1" applyProtection="1"/>
    <xf numFmtId="3" fontId="15" fillId="0" borderId="0" xfId="0" applyNumberFormat="1" applyFont="1" applyFill="1" applyBorder="1" applyProtection="1"/>
    <xf numFmtId="0" fontId="13" fillId="0" borderId="3" xfId="0" applyFont="1" applyFill="1" applyBorder="1" applyProtection="1"/>
    <xf numFmtId="0" fontId="0" fillId="0" borderId="27" xfId="0" applyBorder="1" applyProtection="1"/>
    <xf numFmtId="0" fontId="1" fillId="0" borderId="21" xfId="0" applyFont="1" applyBorder="1" applyProtection="1"/>
    <xf numFmtId="0" fontId="13" fillId="0" borderId="6" xfId="0" applyFont="1" applyFill="1" applyBorder="1" applyProtection="1">
      <protection locked="0"/>
    </xf>
    <xf numFmtId="0" fontId="19" fillId="0" borderId="3" xfId="0" applyFont="1" applyFill="1" applyBorder="1" applyProtection="1">
      <protection locked="0"/>
    </xf>
    <xf numFmtId="3" fontId="15" fillId="0" borderId="0" xfId="0" applyNumberFormat="1" applyFont="1" applyFill="1" applyBorder="1" applyAlignment="1" applyProtection="1">
      <alignment horizontal="right"/>
    </xf>
    <xf numFmtId="0" fontId="1" fillId="0" borderId="0" xfId="0" applyFont="1" applyBorder="1" applyAlignment="1" applyProtection="1">
      <alignment vertical="center"/>
    </xf>
    <xf numFmtId="0" fontId="1" fillId="0" borderId="20" xfId="0" applyFont="1" applyBorder="1" applyAlignment="1" applyProtection="1">
      <alignment vertical="center"/>
    </xf>
    <xf numFmtId="0" fontId="9" fillId="0" borderId="20" xfId="0" applyFont="1" applyFill="1" applyBorder="1" applyAlignment="1" applyProtection="1">
      <alignment horizontal="center" vertical="center"/>
    </xf>
    <xf numFmtId="0" fontId="19" fillId="0" borderId="0" xfId="0" applyFont="1" applyAlignment="1" applyProtection="1"/>
    <xf numFmtId="0" fontId="0" fillId="0" borderId="5" xfId="0" applyBorder="1" applyProtection="1"/>
    <xf numFmtId="0" fontId="19" fillId="0" borderId="20" xfId="0" applyFont="1" applyFill="1" applyBorder="1" applyAlignment="1" applyProtection="1">
      <alignment vertical="center"/>
    </xf>
    <xf numFmtId="9" fontId="15" fillId="2" borderId="1"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3" fontId="15" fillId="0" borderId="6" xfId="0" applyNumberFormat="1" applyFont="1" applyFill="1" applyBorder="1" applyAlignment="1" applyProtection="1">
      <alignment horizontal="right"/>
      <protection locked="0"/>
    </xf>
    <xf numFmtId="1" fontId="15" fillId="0" borderId="6" xfId="0" applyNumberFormat="1" applyFont="1" applyFill="1" applyBorder="1" applyAlignment="1" applyProtection="1">
      <alignment horizontal="right" vertical="center"/>
    </xf>
    <xf numFmtId="2" fontId="15" fillId="6" borderId="1" xfId="0" applyNumberFormat="1" applyFont="1" applyFill="1" applyBorder="1" applyAlignment="1" applyProtection="1">
      <alignment horizontal="right"/>
      <protection locked="0"/>
    </xf>
    <xf numFmtId="0" fontId="13" fillId="6" borderId="1" xfId="0" applyFont="1" applyFill="1" applyBorder="1" applyProtection="1"/>
    <xf numFmtId="0" fontId="15" fillId="6" borderId="5" xfId="0" applyFont="1" applyFill="1" applyBorder="1" applyProtection="1"/>
    <xf numFmtId="2" fontId="15" fillId="6" borderId="1" xfId="0" applyNumberFormat="1" applyFont="1" applyFill="1" applyBorder="1" applyAlignment="1" applyProtection="1">
      <alignment horizontal="center" vertical="center"/>
    </xf>
    <xf numFmtId="1" fontId="15" fillId="6" borderId="1" xfId="0" applyNumberFormat="1" applyFont="1" applyFill="1" applyBorder="1" applyAlignment="1" applyProtection="1">
      <alignment horizontal="center"/>
      <protection locked="0"/>
    </xf>
    <xf numFmtId="2" fontId="15" fillId="0" borderId="1" xfId="0" applyNumberFormat="1" applyFont="1" applyFill="1" applyBorder="1" applyAlignment="1" applyProtection="1">
      <alignment horizontal="right"/>
      <protection locked="0"/>
    </xf>
    <xf numFmtId="0" fontId="13" fillId="0" borderId="1" xfId="0" applyFont="1" applyFill="1" applyBorder="1" applyProtection="1"/>
    <xf numFmtId="0" fontId="15" fillId="0" borderId="0" xfId="0" applyFont="1" applyFill="1" applyBorder="1" applyAlignment="1" applyProtection="1">
      <alignment horizontal="center"/>
    </xf>
    <xf numFmtId="0" fontId="0" fillId="0" borderId="0" xfId="0" applyFill="1" applyBorder="1" applyAlignment="1" applyProtection="1"/>
    <xf numFmtId="0" fontId="0" fillId="0" borderId="3" xfId="0" applyFill="1" applyBorder="1" applyAlignment="1" applyProtection="1"/>
    <xf numFmtId="0" fontId="9" fillId="0" borderId="0" xfId="0" applyFont="1" applyFill="1" applyBorder="1" applyAlignment="1" applyProtection="1">
      <alignment horizontal="center"/>
    </xf>
    <xf numFmtId="2" fontId="1" fillId="0" borderId="1" xfId="0" applyNumberFormat="1" applyFont="1" applyFill="1" applyBorder="1" applyProtection="1"/>
    <xf numFmtId="2" fontId="15" fillId="5" borderId="1" xfId="0" applyNumberFormat="1" applyFont="1" applyFill="1" applyBorder="1" applyAlignment="1" applyProtection="1">
      <alignment horizontal="right"/>
      <protection locked="0"/>
    </xf>
    <xf numFmtId="3" fontId="23" fillId="5" borderId="1" xfId="0" applyNumberFormat="1" applyFont="1" applyFill="1" applyBorder="1" applyAlignment="1" applyProtection="1">
      <alignment vertical="center"/>
    </xf>
    <xf numFmtId="3" fontId="15" fillId="5" borderId="1" xfId="0" applyNumberFormat="1" applyFont="1" applyFill="1" applyBorder="1" applyProtection="1"/>
    <xf numFmtId="3" fontId="15" fillId="5" borderId="9" xfId="0" applyNumberFormat="1" applyFont="1" applyFill="1" applyBorder="1" applyProtection="1"/>
    <xf numFmtId="3" fontId="15" fillId="6" borderId="1" xfId="0" applyNumberFormat="1" applyFont="1" applyFill="1" applyBorder="1" applyProtection="1"/>
    <xf numFmtId="0" fontId="0" fillId="0" borderId="8" xfId="0" applyBorder="1"/>
    <xf numFmtId="0" fontId="0" fillId="0" borderId="8" xfId="0" applyFill="1" applyBorder="1"/>
    <xf numFmtId="0" fontId="1" fillId="0" borderId="8" xfId="0" applyFont="1" applyBorder="1"/>
    <xf numFmtId="0" fontId="0" fillId="0" borderId="26" xfId="0" applyBorder="1"/>
    <xf numFmtId="0" fontId="0" fillId="0" borderId="26" xfId="0" applyFill="1" applyBorder="1"/>
    <xf numFmtId="3" fontId="0" fillId="5" borderId="10" xfId="0" applyNumberFormat="1" applyFill="1" applyBorder="1"/>
    <xf numFmtId="2" fontId="0" fillId="5" borderId="5" xfId="0" applyNumberFormat="1" applyFill="1" applyBorder="1"/>
    <xf numFmtId="2" fontId="0" fillId="5" borderId="1" xfId="0" applyNumberFormat="1" applyFill="1" applyBorder="1"/>
    <xf numFmtId="0" fontId="0" fillId="5" borderId="5" xfId="0" applyFill="1" applyBorder="1"/>
    <xf numFmtId="3" fontId="0" fillId="5" borderId="1" xfId="0" applyNumberFormat="1" applyFill="1" applyBorder="1"/>
    <xf numFmtId="0" fontId="0" fillId="0" borderId="0" xfId="0" applyAlignment="1" applyProtection="1"/>
    <xf numFmtId="0" fontId="0" fillId="0" borderId="0" xfId="0" applyFill="1" applyAlignment="1" applyProtection="1"/>
    <xf numFmtId="0" fontId="13" fillId="0" borderId="1" xfId="0" applyFont="1" applyFill="1" applyBorder="1" applyAlignment="1" applyProtection="1">
      <alignment horizontal="left"/>
    </xf>
    <xf numFmtId="0" fontId="0" fillId="0" borderId="1" xfId="0" applyFill="1" applyBorder="1" applyAlignment="1">
      <alignment horizontal="left"/>
    </xf>
    <xf numFmtId="0" fontId="13" fillId="0" borderId="6" xfId="0" applyFont="1" applyFill="1" applyBorder="1" applyAlignment="1" applyProtection="1"/>
    <xf numFmtId="0" fontId="15" fillId="0" borderId="6" xfId="0" applyFont="1" applyFill="1" applyBorder="1" applyAlignment="1" applyProtection="1"/>
    <xf numFmtId="0" fontId="13" fillId="0" borderId="3" xfId="0" applyFont="1" applyBorder="1" applyAlignment="1" applyProtection="1">
      <alignment vertical="center"/>
    </xf>
    <xf numFmtId="0" fontId="19" fillId="0" borderId="3" xfId="0" applyFont="1" applyBorder="1" applyAlignment="1" applyProtection="1">
      <alignment vertical="center"/>
    </xf>
    <xf numFmtId="0" fontId="20" fillId="0" borderId="3" xfId="0" applyFont="1" applyFill="1" applyBorder="1" applyAlignment="1" applyProtection="1">
      <alignment horizontal="center" vertical="center"/>
    </xf>
    <xf numFmtId="0" fontId="19" fillId="0" borderId="20" xfId="0" applyFont="1" applyBorder="1" applyAlignment="1" applyProtection="1">
      <alignment vertical="center"/>
    </xf>
    <xf numFmtId="2" fontId="15" fillId="0" borderId="20" xfId="0" applyNumberFormat="1" applyFont="1" applyBorder="1" applyAlignment="1" applyProtection="1">
      <alignment horizontal="center" vertical="center"/>
    </xf>
    <xf numFmtId="164" fontId="0" fillId="0" borderId="3" xfId="1" applyNumberFormat="1" applyFont="1" applyFill="1" applyBorder="1" applyAlignment="1">
      <alignment horizontal="right"/>
    </xf>
    <xf numFmtId="0" fontId="13" fillId="8" borderId="1" xfId="0" applyFont="1" applyFill="1" applyBorder="1"/>
    <xf numFmtId="0" fontId="12" fillId="8" borderId="1" xfId="0" applyFont="1" applyFill="1" applyBorder="1"/>
    <xf numFmtId="165" fontId="13" fillId="8" borderId="1" xfId="0" applyNumberFormat="1" applyFont="1" applyFill="1" applyBorder="1"/>
    <xf numFmtId="164" fontId="0" fillId="8" borderId="1" xfId="0" applyNumberFormat="1" applyFill="1" applyBorder="1"/>
    <xf numFmtId="0" fontId="0" fillId="8" borderId="0" xfId="0" applyFill="1"/>
    <xf numFmtId="0" fontId="0" fillId="8" borderId="1" xfId="0" applyFill="1" applyBorder="1"/>
    <xf numFmtId="164" fontId="0" fillId="8" borderId="1" xfId="1" applyNumberFormat="1" applyFont="1" applyFill="1" applyBorder="1" applyAlignment="1">
      <alignment horizontal="right"/>
    </xf>
    <xf numFmtId="164" fontId="0" fillId="0" borderId="1" xfId="0" applyNumberFormat="1" applyFill="1" applyBorder="1"/>
    <xf numFmtId="0" fontId="0" fillId="0" borderId="0" xfId="0" applyFill="1" applyBorder="1" applyAlignment="1">
      <alignment horizontal="center"/>
    </xf>
    <xf numFmtId="164" fontId="12" fillId="8" borderId="1" xfId="1" applyNumberFormat="1" applyFont="1" applyFill="1" applyBorder="1"/>
    <xf numFmtId="0" fontId="13" fillId="0" borderId="3" xfId="0" applyFont="1" applyFill="1" applyBorder="1" applyAlignment="1" applyProtection="1">
      <alignment vertical="center"/>
    </xf>
    <xf numFmtId="0" fontId="0" fillId="0" borderId="3" xfId="0" applyFill="1" applyBorder="1" applyProtection="1"/>
    <xf numFmtId="2" fontId="15" fillId="0" borderId="3" xfId="0" applyNumberFormat="1" applyFont="1" applyFill="1" applyBorder="1" applyAlignment="1" applyProtection="1">
      <alignment horizontal="right"/>
    </xf>
    <xf numFmtId="3" fontId="0" fillId="0" borderId="3" xfId="0" applyNumberFormat="1" applyBorder="1" applyProtection="1"/>
    <xf numFmtId="0" fontId="0" fillId="0" borderId="3" xfId="0" applyBorder="1" applyAlignment="1" applyProtection="1">
      <alignment vertical="center"/>
    </xf>
    <xf numFmtId="0" fontId="0" fillId="0" borderId="6" xfId="0" applyBorder="1" applyAlignment="1" applyProtection="1">
      <alignment vertical="center"/>
    </xf>
    <xf numFmtId="0" fontId="0" fillId="0" borderId="0" xfId="0" applyAlignment="1"/>
    <xf numFmtId="0" fontId="16" fillId="0" borderId="18" xfId="0" applyFont="1" applyBorder="1" applyAlignment="1">
      <alignment vertical="center"/>
    </xf>
    <xf numFmtId="0" fontId="9" fillId="0" borderId="18" xfId="0" applyFont="1" applyBorder="1" applyAlignment="1">
      <alignment vertical="center"/>
    </xf>
    <xf numFmtId="0" fontId="9" fillId="0" borderId="21" xfId="0" applyFont="1" applyBorder="1" applyAlignment="1">
      <alignment vertical="center"/>
    </xf>
    <xf numFmtId="0" fontId="9" fillId="0" borderId="0" xfId="0" applyFont="1" applyBorder="1" applyAlignment="1">
      <alignment vertical="center"/>
    </xf>
    <xf numFmtId="0" fontId="9" fillId="0" borderId="22" xfId="0" applyFont="1" applyBorder="1" applyAlignment="1">
      <alignment vertical="center"/>
    </xf>
    <xf numFmtId="0" fontId="10" fillId="0" borderId="29" xfId="0" applyFont="1" applyBorder="1" applyAlignment="1">
      <alignment vertical="center"/>
    </xf>
    <xf numFmtId="0" fontId="9" fillId="0" borderId="3" xfId="0" applyFont="1" applyBorder="1" applyAlignment="1">
      <alignment vertical="center"/>
    </xf>
    <xf numFmtId="0" fontId="9" fillId="0" borderId="30" xfId="0" applyFont="1" applyBorder="1" applyAlignment="1">
      <alignment vertical="center"/>
    </xf>
    <xf numFmtId="0" fontId="9" fillId="0" borderId="32" xfId="0" applyFont="1" applyBorder="1" applyAlignment="1">
      <alignment vertical="center"/>
    </xf>
    <xf numFmtId="0" fontId="0" fillId="0" borderId="0" xfId="0" applyBorder="1" applyAlignment="1">
      <alignment vertical="center"/>
    </xf>
    <xf numFmtId="0" fontId="10" fillId="0" borderId="21" xfId="0" applyFont="1" applyBorder="1" applyAlignment="1">
      <alignment vertical="center"/>
    </xf>
    <xf numFmtId="0" fontId="9" fillId="0" borderId="19" xfId="0" applyFont="1" applyBorder="1" applyAlignment="1">
      <alignment vertical="center"/>
    </xf>
    <xf numFmtId="0" fontId="40" fillId="0" borderId="0" xfId="0" applyFont="1"/>
    <xf numFmtId="0" fontId="7" fillId="0" borderId="1" xfId="2" applyFont="1" applyBorder="1" applyAlignment="1" applyProtection="1">
      <alignment horizontal="center" vertical="center" wrapText="1"/>
    </xf>
    <xf numFmtId="0" fontId="8" fillId="0" borderId="34" xfId="2" applyFont="1" applyBorder="1" applyAlignment="1" applyProtection="1">
      <alignment horizontal="center" vertical="center" wrapText="1"/>
    </xf>
    <xf numFmtId="0" fontId="8" fillId="0" borderId="35" xfId="2" applyFont="1" applyBorder="1" applyAlignment="1" applyProtection="1">
      <alignment horizontal="center" vertical="center" wrapText="1"/>
    </xf>
    <xf numFmtId="0" fontId="8" fillId="0" borderId="36" xfId="2" applyFont="1" applyBorder="1" applyAlignment="1" applyProtection="1">
      <alignment horizontal="center" vertical="center" wrapText="1"/>
    </xf>
    <xf numFmtId="1" fontId="9" fillId="0" borderId="7" xfId="0" applyNumberFormat="1" applyFont="1" applyBorder="1" applyAlignment="1">
      <alignment horizontal="center" vertical="center"/>
    </xf>
    <xf numFmtId="1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9" borderId="1" xfId="0" applyFont="1" applyFill="1" applyBorder="1" applyAlignment="1">
      <alignment horizontal="center" vertical="center"/>
    </xf>
    <xf numFmtId="1" fontId="9" fillId="0" borderId="1" xfId="0" applyNumberFormat="1" applyFont="1" applyBorder="1" applyAlignment="1">
      <alignment horizontal="center" vertical="center"/>
    </xf>
    <xf numFmtId="0" fontId="9" fillId="9" borderId="1" xfId="0" applyFont="1" applyFill="1" applyBorder="1" applyAlignment="1">
      <alignment horizontal="left" vertical="center"/>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0" fontId="9" fillId="9" borderId="1" xfId="0" applyNumberFormat="1" applyFont="1" applyFill="1" applyBorder="1" applyAlignment="1">
      <alignment horizontal="center" vertical="center"/>
    </xf>
    <xf numFmtId="9" fontId="9" fillId="9" borderId="1" xfId="0" applyNumberFormat="1" applyFont="1" applyFill="1" applyBorder="1" applyAlignment="1">
      <alignment horizontal="left" vertical="center"/>
    </xf>
    <xf numFmtId="16" fontId="9" fillId="0" borderId="1" xfId="0" applyNumberFormat="1" applyFont="1" applyFill="1" applyBorder="1" applyAlignment="1">
      <alignment horizontal="center" vertical="center" wrapText="1"/>
    </xf>
    <xf numFmtId="9" fontId="9" fillId="9" borderId="1" xfId="0" applyNumberFormat="1" applyFont="1" applyFill="1" applyBorder="1" applyAlignment="1">
      <alignment horizontal="left" vertical="center" wrapText="1"/>
    </xf>
    <xf numFmtId="1" fontId="10" fillId="0" borderId="13" xfId="0" applyNumberFormat="1" applyFont="1" applyBorder="1" applyAlignment="1">
      <alignment horizontal="center" vertical="center"/>
    </xf>
    <xf numFmtId="0" fontId="10" fillId="0" borderId="15" xfId="0" applyFont="1" applyBorder="1"/>
    <xf numFmtId="1" fontId="10" fillId="0" borderId="25" xfId="0" applyNumberFormat="1" applyFont="1" applyBorder="1" applyAlignment="1">
      <alignment horizontal="center" vertical="center"/>
    </xf>
    <xf numFmtId="0" fontId="10" fillId="0" borderId="14" xfId="0" applyFont="1" applyBorder="1"/>
    <xf numFmtId="0" fontId="10" fillId="0" borderId="0" xfId="0" applyFont="1" applyBorder="1" applyAlignment="1">
      <alignment vertical="center"/>
    </xf>
    <xf numFmtId="9" fontId="0" fillId="0" borderId="0" xfId="0" applyNumberFormat="1"/>
    <xf numFmtId="0" fontId="0" fillId="0" borderId="0" xfId="0" applyFill="1" applyBorder="1" applyAlignment="1"/>
    <xf numFmtId="2" fontId="9" fillId="9"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10" fillId="0" borderId="25" xfId="0" applyFont="1" applyBorder="1" applyAlignment="1">
      <alignment horizontal="center" vertical="center" wrapText="1"/>
    </xf>
    <xf numFmtId="164" fontId="0" fillId="0" borderId="0" xfId="0" applyNumberFormat="1"/>
    <xf numFmtId="43" fontId="0" fillId="0" borderId="0" xfId="0" applyNumberFormat="1"/>
    <xf numFmtId="1" fontId="0" fillId="8" borderId="1" xfId="0" applyNumberFormat="1" applyFill="1" applyBorder="1"/>
    <xf numFmtId="0" fontId="18" fillId="0" borderId="9" xfId="0" applyFont="1" applyBorder="1" applyAlignment="1" applyProtection="1">
      <alignment horizontal="center" vertical="center" wrapText="1"/>
    </xf>
    <xf numFmtId="164" fontId="0" fillId="0" borderId="0" xfId="1" applyNumberFormat="1" applyFont="1" applyFill="1" applyBorder="1" applyAlignment="1">
      <alignment horizontal="right"/>
    </xf>
    <xf numFmtId="0" fontId="14" fillId="0" borderId="0" xfId="0" applyFont="1" applyBorder="1" applyAlignment="1">
      <alignment horizontal="center"/>
    </xf>
    <xf numFmtId="164" fontId="0" fillId="0" borderId="6" xfId="1" applyNumberFormat="1" applyFont="1" applyFill="1" applyBorder="1" applyAlignment="1">
      <alignment horizontal="right"/>
    </xf>
    <xf numFmtId="3" fontId="0" fillId="0" borderId="5" xfId="0" applyNumberFormat="1" applyBorder="1"/>
    <xf numFmtId="3" fontId="0" fillId="0" borderId="1" xfId="0" applyNumberFormat="1" applyBorder="1"/>
    <xf numFmtId="3" fontId="0" fillId="0" borderId="5" xfId="0" applyNumberFormat="1" applyFill="1" applyBorder="1"/>
    <xf numFmtId="3" fontId="0" fillId="0" borderId="1" xfId="0" applyNumberFormat="1" applyFill="1" applyBorder="1"/>
    <xf numFmtId="3" fontId="0" fillId="0" borderId="0" xfId="0" applyNumberFormat="1"/>
    <xf numFmtId="3" fontId="0" fillId="0" borderId="5" xfId="1" applyNumberFormat="1" applyFont="1" applyFill="1" applyBorder="1" applyAlignment="1">
      <alignment horizontal="right"/>
    </xf>
    <xf numFmtId="3" fontId="0" fillId="0" borderId="1" xfId="1" applyNumberFormat="1" applyFont="1" applyFill="1" applyBorder="1" applyAlignment="1">
      <alignment horizontal="right"/>
    </xf>
    <xf numFmtId="3" fontId="0" fillId="0" borderId="9" xfId="0" applyNumberFormat="1" applyBorder="1"/>
    <xf numFmtId="3" fontId="0" fillId="0" borderId="0" xfId="0" applyNumberFormat="1" applyBorder="1"/>
    <xf numFmtId="3" fontId="0" fillId="8" borderId="1" xfId="0" applyNumberFormat="1" applyFill="1" applyBorder="1"/>
    <xf numFmtId="164" fontId="0" fillId="4" borderId="1" xfId="1" applyNumberFormat="1" applyFont="1" applyFill="1" applyBorder="1" applyAlignment="1">
      <alignment horizontal="right"/>
    </xf>
    <xf numFmtId="3" fontId="0" fillId="4" borderId="1" xfId="0" applyNumberFormat="1" applyFill="1" applyBorder="1"/>
    <xf numFmtId="0" fontId="18" fillId="0" borderId="20" xfId="0" applyFont="1" applyBorder="1" applyAlignment="1" applyProtection="1">
      <alignment horizontal="center" vertical="center" wrapText="1"/>
    </xf>
    <xf numFmtId="0" fontId="0" fillId="0" borderId="20" xfId="0" applyFill="1" applyBorder="1" applyAlignment="1" applyProtection="1">
      <alignment horizontal="left" vertical="center"/>
    </xf>
    <xf numFmtId="0" fontId="18" fillId="0" borderId="20" xfId="0" applyFont="1" applyBorder="1" applyAlignment="1" applyProtection="1">
      <alignment horizontal="center" vertical="center"/>
    </xf>
    <xf numFmtId="0" fontId="15" fillId="0" borderId="5" xfId="0" applyFont="1" applyBorder="1" applyAlignment="1" applyProtection="1"/>
    <xf numFmtId="0" fontId="15" fillId="0" borderId="6" xfId="0" applyFont="1" applyBorder="1" applyAlignment="1" applyProtection="1"/>
    <xf numFmtId="0" fontId="15" fillId="0" borderId="1" xfId="0" applyFont="1" applyBorder="1" applyAlignment="1" applyProtection="1">
      <alignment horizontal="center" vertical="center"/>
    </xf>
    <xf numFmtId="0" fontId="13" fillId="0" borderId="6" xfId="0" applyFont="1" applyFill="1" applyBorder="1" applyAlignment="1" applyProtection="1"/>
    <xf numFmtId="0" fontId="15" fillId="0" borderId="6" xfId="0" applyFont="1" applyFill="1" applyBorder="1" applyAlignment="1" applyProtection="1"/>
    <xf numFmtId="1" fontId="15" fillId="2" borderId="5" xfId="0" applyNumberFormat="1" applyFont="1" applyFill="1" applyBorder="1" applyAlignment="1" applyProtection="1">
      <alignment horizontal="center"/>
      <protection locked="0"/>
    </xf>
    <xf numFmtId="3" fontId="15" fillId="0" borderId="7" xfId="0" applyNumberFormat="1" applyFont="1" applyBorder="1" applyAlignment="1" applyProtection="1">
      <alignment vertical="center"/>
    </xf>
    <xf numFmtId="0" fontId="30" fillId="0" borderId="0" xfId="0" applyFont="1" applyFill="1" applyBorder="1" applyAlignment="1" applyProtection="1">
      <alignment horizontal="right" vertical="center"/>
    </xf>
    <xf numFmtId="0" fontId="1" fillId="2" borderId="14" xfId="0" applyFont="1" applyFill="1" applyBorder="1" applyProtection="1"/>
    <xf numFmtId="0" fontId="0" fillId="2" borderId="15" xfId="0" applyFill="1" applyBorder="1" applyProtection="1"/>
    <xf numFmtId="0" fontId="0" fillId="2" borderId="16" xfId="0" applyFill="1" applyBorder="1" applyProtection="1"/>
    <xf numFmtId="0" fontId="1" fillId="2" borderId="21" xfId="0" applyFont="1" applyFill="1" applyBorder="1" applyProtection="1"/>
    <xf numFmtId="0" fontId="0" fillId="2" borderId="0" xfId="0" applyFill="1" applyBorder="1" applyProtection="1"/>
    <xf numFmtId="0" fontId="0" fillId="2" borderId="22" xfId="0" applyFill="1" applyBorder="1" applyProtection="1"/>
    <xf numFmtId="0" fontId="25" fillId="2" borderId="31" xfId="0" applyFont="1" applyFill="1" applyBorder="1" applyProtection="1"/>
    <xf numFmtId="0" fontId="0" fillId="2" borderId="20" xfId="0" applyFill="1" applyBorder="1" applyProtection="1"/>
    <xf numFmtId="0" fontId="0" fillId="2" borderId="32" xfId="0" applyFill="1" applyBorder="1" applyProtection="1"/>
    <xf numFmtId="0" fontId="0" fillId="2" borderId="21" xfId="0" applyFill="1" applyBorder="1" applyProtection="1"/>
    <xf numFmtId="0" fontId="25" fillId="2" borderId="21" xfId="0" applyFont="1" applyFill="1" applyBorder="1" applyProtection="1"/>
    <xf numFmtId="0" fontId="0" fillId="0" borderId="0" xfId="0" applyFill="1" applyBorder="1" applyProtection="1">
      <protection locked="0"/>
    </xf>
    <xf numFmtId="0" fontId="13" fillId="0" borderId="0" xfId="0" applyFont="1" applyBorder="1" applyAlignment="1"/>
    <xf numFmtId="3" fontId="0" fillId="0" borderId="0" xfId="1" applyNumberFormat="1" applyFont="1" applyFill="1" applyBorder="1" applyAlignment="1">
      <alignment horizontal="right"/>
    </xf>
    <xf numFmtId="0" fontId="15" fillId="0" borderId="0" xfId="0" applyFont="1" applyFill="1" applyAlignment="1" applyProtection="1">
      <alignment vertical="center"/>
    </xf>
    <xf numFmtId="3" fontId="15" fillId="2" borderId="1" xfId="0" applyNumberFormat="1" applyFont="1" applyFill="1" applyBorder="1" applyAlignment="1" applyProtection="1">
      <alignment vertical="center"/>
    </xf>
    <xf numFmtId="2" fontId="15" fillId="0" borderId="20" xfId="0" applyNumberFormat="1" applyFont="1" applyFill="1" applyBorder="1" applyAlignment="1" applyProtection="1">
      <alignment horizontal="right"/>
    </xf>
    <xf numFmtId="3" fontId="0" fillId="0" borderId="20" xfId="0" applyNumberFormat="1" applyBorder="1" applyProtection="1"/>
    <xf numFmtId="0" fontId="20" fillId="0" borderId="1" xfId="0" applyFont="1" applyFill="1" applyBorder="1"/>
    <xf numFmtId="0" fontId="0" fillId="4" borderId="0" xfId="0" applyFill="1"/>
    <xf numFmtId="9" fontId="0" fillId="0" borderId="1" xfId="0" applyNumberFormat="1" applyBorder="1"/>
    <xf numFmtId="43" fontId="0" fillId="0" borderId="1" xfId="1" applyNumberFormat="1" applyFont="1" applyFill="1" applyBorder="1" applyAlignment="1">
      <alignment horizontal="right"/>
    </xf>
    <xf numFmtId="1" fontId="0" fillId="0" borderId="1" xfId="0" applyNumberFormat="1" applyBorder="1"/>
    <xf numFmtId="0" fontId="14" fillId="0" borderId="0" xfId="0" applyFont="1" applyFill="1" applyBorder="1" applyAlignment="1">
      <alignment horizontal="center"/>
    </xf>
    <xf numFmtId="0" fontId="0" fillId="4" borderId="1" xfId="0" applyFill="1" applyBorder="1"/>
    <xf numFmtId="0" fontId="0" fillId="4" borderId="5" xfId="0" applyFill="1" applyBorder="1"/>
    <xf numFmtId="0" fontId="20" fillId="0" borderId="7" xfId="0" applyFont="1" applyFill="1" applyBorder="1"/>
    <xf numFmtId="164" fontId="0" fillId="0" borderId="5" xfId="1" applyNumberFormat="1" applyFont="1" applyFill="1" applyBorder="1" applyAlignment="1">
      <alignment horizontal="right"/>
    </xf>
    <xf numFmtId="1" fontId="0" fillId="0" borderId="5" xfId="0" applyNumberFormat="1" applyBorder="1"/>
    <xf numFmtId="0" fontId="20" fillId="0" borderId="5" xfId="0" applyFont="1" applyFill="1" applyBorder="1"/>
    <xf numFmtId="0" fontId="13" fillId="2" borderId="5" xfId="0" applyFont="1" applyFill="1" applyBorder="1" applyAlignment="1" applyProtection="1">
      <alignment vertical="center"/>
      <protection locked="0"/>
    </xf>
    <xf numFmtId="0" fontId="13" fillId="2" borderId="7" xfId="0" applyFont="1" applyFill="1" applyBorder="1" applyAlignment="1" applyProtection="1">
      <alignment vertical="center"/>
      <protection locked="0"/>
    </xf>
    <xf numFmtId="0" fontId="13" fillId="0" borderId="5" xfId="0" applyFont="1" applyBorder="1" applyAlignment="1" applyProtection="1"/>
    <xf numFmtId="0" fontId="15" fillId="0" borderId="7" xfId="0" applyFont="1" applyBorder="1" applyAlignment="1" applyProtection="1"/>
    <xf numFmtId="0" fontId="19" fillId="0" borderId="1" xfId="0" applyFont="1" applyBorder="1" applyAlignment="1" applyProtection="1"/>
    <xf numFmtId="0" fontId="0" fillId="0" borderId="1" xfId="0" applyBorder="1" applyAlignment="1" applyProtection="1"/>
    <xf numFmtId="0" fontId="19" fillId="2"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19" fillId="3" borderId="1" xfId="0" applyFont="1" applyFill="1" applyBorder="1" applyAlignment="1" applyProtection="1">
      <alignment vertical="center"/>
      <protection locked="0"/>
    </xf>
    <xf numFmtId="0" fontId="0" fillId="0" borderId="1" xfId="0" applyBorder="1" applyAlignment="1" applyProtection="1">
      <protection locked="0"/>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8" fillId="0" borderId="1" xfId="0" applyFont="1" applyBorder="1" applyAlignment="1" applyProtection="1">
      <alignment horizontal="center" vertical="center" wrapText="1"/>
    </xf>
    <xf numFmtId="0" fontId="0" fillId="0" borderId="1" xfId="0" applyBorder="1" applyAlignment="1"/>
    <xf numFmtId="0" fontId="19" fillId="0" borderId="6" xfId="0" applyFont="1" applyBorder="1" applyAlignment="1" applyProtection="1"/>
    <xf numFmtId="0" fontId="0" fillId="0" borderId="6" xfId="0" applyBorder="1" applyAlignment="1" applyProtection="1"/>
    <xf numFmtId="0" fontId="8" fillId="0" borderId="6" xfId="0" applyFont="1" applyBorder="1" applyAlignment="1" applyProtection="1"/>
    <xf numFmtId="0" fontId="0" fillId="2" borderId="24" xfId="0" applyFont="1" applyFill="1" applyBorder="1" applyAlignment="1" applyProtection="1">
      <alignment vertical="center" wrapText="1"/>
    </xf>
    <xf numFmtId="0" fontId="0" fillId="2" borderId="6" xfId="0" applyFont="1" applyFill="1" applyBorder="1" applyAlignment="1">
      <alignment vertical="center" wrapText="1"/>
    </xf>
    <xf numFmtId="0" fontId="0" fillId="2" borderId="38" xfId="0" applyFont="1" applyFill="1" applyBorder="1" applyAlignment="1">
      <alignment vertical="center" wrapText="1"/>
    </xf>
    <xf numFmtId="0" fontId="0" fillId="2" borderId="39" xfId="0" applyFont="1" applyFill="1" applyBorder="1" applyAlignment="1" applyProtection="1">
      <alignment vertical="center" wrapText="1"/>
    </xf>
    <xf numFmtId="0" fontId="0" fillId="2" borderId="28" xfId="0" applyFont="1" applyFill="1" applyBorder="1" applyAlignment="1">
      <alignment vertical="center" wrapText="1"/>
    </xf>
    <xf numFmtId="0" fontId="0" fillId="2" borderId="40" xfId="0" applyFont="1" applyFill="1" applyBorder="1" applyAlignment="1">
      <alignment vertical="center" wrapText="1"/>
    </xf>
    <xf numFmtId="0" fontId="9" fillId="2" borderId="0" xfId="0" applyFont="1" applyFill="1" applyBorder="1" applyAlignment="1" applyProtection="1">
      <alignment horizontal="left"/>
      <protection locked="0"/>
    </xf>
    <xf numFmtId="0" fontId="0" fillId="0" borderId="0" xfId="0" applyAlignment="1" applyProtection="1">
      <alignment horizontal="left"/>
      <protection locked="0"/>
    </xf>
    <xf numFmtId="0" fontId="7" fillId="0" borderId="11"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vertical="center"/>
    </xf>
    <xf numFmtId="0" fontId="7" fillId="0" borderId="1" xfId="0" applyFont="1" applyBorder="1" applyAlignment="1" applyProtection="1">
      <alignment horizontal="center"/>
    </xf>
    <xf numFmtId="0" fontId="9" fillId="0" borderId="1" xfId="0" applyFont="1" applyBorder="1" applyAlignment="1" applyProtection="1"/>
    <xf numFmtId="0" fontId="0" fillId="0" borderId="23" xfId="0" applyBorder="1" applyAlignment="1" applyProtection="1"/>
    <xf numFmtId="10" fontId="10" fillId="0" borderId="1" xfId="0" applyNumberFormat="1" applyFont="1" applyBorder="1" applyAlignment="1" applyProtection="1">
      <alignment horizontal="center"/>
    </xf>
    <xf numFmtId="10" fontId="10" fillId="0" borderId="1" xfId="0" applyNumberFormat="1" applyFont="1" applyBorder="1" applyAlignment="1" applyProtection="1"/>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5" xfId="0" applyFont="1" applyBorder="1" applyAlignment="1" applyProtection="1">
      <alignment horizontal="center"/>
    </xf>
    <xf numFmtId="0" fontId="0" fillId="0" borderId="16" xfId="0" applyBorder="1" applyAlignment="1" applyProtection="1"/>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8" xfId="0" applyFont="1" applyBorder="1" applyAlignment="1" applyProtection="1">
      <alignment horizontal="center"/>
    </xf>
    <xf numFmtId="0" fontId="0" fillId="0" borderId="19" xfId="0" applyBorder="1" applyAlignment="1" applyProtection="1"/>
    <xf numFmtId="0" fontId="13" fillId="0" borderId="1" xfId="0" applyFont="1" applyBorder="1" applyAlignment="1" applyProtection="1">
      <alignment vertical="center"/>
    </xf>
    <xf numFmtId="0" fontId="15" fillId="0" borderId="1" xfId="0" applyFont="1" applyBorder="1" applyAlignment="1" applyProtection="1">
      <alignment vertical="center"/>
    </xf>
    <xf numFmtId="0" fontId="0" fillId="0" borderId="6" xfId="0" applyBorder="1" applyAlignment="1"/>
    <xf numFmtId="0" fontId="22" fillId="0" borderId="20" xfId="0" applyFont="1" applyBorder="1" applyAlignment="1" applyProtection="1"/>
    <xf numFmtId="0" fontId="0" fillId="0" borderId="20" xfId="0" applyBorder="1" applyAlignment="1"/>
    <xf numFmtId="0" fontId="0" fillId="0" borderId="41" xfId="0" applyBorder="1" applyAlignment="1"/>
    <xf numFmtId="0" fontId="0" fillId="0" borderId="7" xfId="0" applyBorder="1" applyAlignment="1" applyProtection="1"/>
    <xf numFmtId="0" fontId="17" fillId="0" borderId="8" xfId="0" applyFont="1" applyBorder="1" applyAlignment="1" applyProtection="1">
      <alignment horizontal="center" vertical="center"/>
    </xf>
    <xf numFmtId="0" fontId="0" fillId="0" borderId="26" xfId="0" applyBorder="1" applyAlignment="1" applyProtection="1">
      <alignment vertical="center"/>
    </xf>
    <xf numFmtId="0" fontId="7" fillId="0" borderId="24" xfId="0" applyFont="1" applyBorder="1" applyAlignment="1" applyProtection="1">
      <alignment horizontal="center" vertical="center" wrapText="1"/>
    </xf>
    <xf numFmtId="0" fontId="0" fillId="0" borderId="6" xfId="0" applyBorder="1" applyAlignment="1" applyProtection="1">
      <alignment vertical="center"/>
    </xf>
    <xf numFmtId="0" fontId="0" fillId="0" borderId="7" xfId="0" applyBorder="1" applyAlignment="1" applyProtection="1">
      <alignment vertical="center"/>
    </xf>
    <xf numFmtId="166" fontId="7" fillId="0" borderId="24" xfId="0" applyNumberFormat="1" applyFont="1" applyBorder="1" applyAlignment="1" applyProtection="1">
      <alignment horizontal="center" vertical="center"/>
    </xf>
    <xf numFmtId="166" fontId="1" fillId="0" borderId="6" xfId="0" applyNumberFormat="1" applyFont="1" applyBorder="1" applyAlignment="1" applyProtection="1">
      <alignment vertical="center"/>
    </xf>
    <xf numFmtId="0" fontId="7" fillId="0" borderId="1" xfId="0" applyFont="1" applyBorder="1" applyAlignment="1" applyProtection="1">
      <alignment horizontal="center" vertical="center"/>
    </xf>
    <xf numFmtId="166" fontId="7" fillId="0" borderId="1" xfId="0" applyNumberFormat="1" applyFont="1" applyBorder="1" applyAlignment="1" applyProtection="1">
      <alignment horizontal="center" vertical="center"/>
    </xf>
    <xf numFmtId="166" fontId="1" fillId="0" borderId="1" xfId="0" applyNumberFormat="1" applyFont="1" applyBorder="1" applyAlignment="1" applyProtection="1">
      <alignment vertical="center"/>
    </xf>
    <xf numFmtId="166" fontId="0" fillId="0" borderId="1" xfId="0" applyNumberFormat="1" applyBorder="1" applyAlignment="1" applyProtection="1">
      <alignment vertical="center"/>
    </xf>
    <xf numFmtId="0" fontId="19" fillId="0" borderId="1" xfId="0" applyFont="1" applyBorder="1" applyAlignment="1" applyProtection="1">
      <alignment vertical="center"/>
    </xf>
    <xf numFmtId="0" fontId="0" fillId="0" borderId="1" xfId="0" applyBorder="1" applyAlignment="1" applyProtection="1">
      <alignment vertical="center"/>
    </xf>
    <xf numFmtId="0" fontId="13" fillId="0" borderId="6" xfId="0" applyFont="1" applyFill="1" applyBorder="1" applyAlignment="1" applyProtection="1"/>
    <xf numFmtId="0" fontId="15" fillId="0" borderId="6" xfId="0" applyFont="1" applyFill="1" applyBorder="1" applyAlignment="1" applyProtection="1"/>
    <xf numFmtId="0" fontId="13" fillId="0" borderId="6" xfId="0" applyFont="1" applyFill="1" applyBorder="1" applyAlignment="1" applyProtection="1">
      <protection locked="0"/>
    </xf>
    <xf numFmtId="0" fontId="15" fillId="0" borderId="6" xfId="0" applyFont="1" applyFill="1" applyBorder="1" applyAlignment="1" applyProtection="1">
      <protection locked="0"/>
    </xf>
    <xf numFmtId="0" fontId="21" fillId="0" borderId="20" xfId="0" applyFont="1" applyBorder="1" applyAlignment="1" applyProtection="1"/>
    <xf numFmtId="0" fontId="0" fillId="0" borderId="20" xfId="0" applyBorder="1" applyAlignment="1" applyProtection="1"/>
    <xf numFmtId="0" fontId="13" fillId="0" borderId="7" xfId="0" applyFont="1" applyBorder="1" applyAlignment="1" applyProtection="1"/>
    <xf numFmtId="0" fontId="7" fillId="0" borderId="24" xfId="0" applyFont="1" applyBorder="1" applyAlignment="1" applyProtection="1">
      <alignment horizontal="left"/>
    </xf>
    <xf numFmtId="0" fontId="10" fillId="0" borderId="6" xfId="0" applyFont="1" applyBorder="1" applyAlignment="1" applyProtection="1"/>
    <xf numFmtId="0" fontId="13" fillId="0" borderId="6" xfId="0" applyFont="1" applyBorder="1" applyAlignment="1" applyProtection="1"/>
    <xf numFmtId="0" fontId="13" fillId="0" borderId="6" xfId="0" applyFont="1" applyBorder="1" applyAlignment="1" applyProtection="1">
      <alignment vertical="center"/>
    </xf>
    <xf numFmtId="0" fontId="15" fillId="0" borderId="6" xfId="0" applyFont="1" applyBorder="1" applyAlignment="1" applyProtection="1">
      <alignment vertical="center"/>
    </xf>
    <xf numFmtId="0" fontId="16" fillId="0" borderId="0" xfId="0" applyFont="1" applyAlignment="1" applyProtection="1">
      <alignment horizontal="center"/>
    </xf>
    <xf numFmtId="0" fontId="0" fillId="0" borderId="0" xfId="0" applyAlignment="1" applyProtection="1"/>
    <xf numFmtId="0" fontId="9" fillId="2" borderId="1" xfId="0" applyFont="1" applyFill="1" applyBorder="1" applyAlignment="1" applyProtection="1">
      <alignment vertical="center"/>
      <protection locked="0"/>
    </xf>
    <xf numFmtId="0" fontId="13" fillId="0" borderId="5" xfId="0" applyFont="1" applyBorder="1" applyAlignment="1" applyProtection="1">
      <alignment vertical="center"/>
    </xf>
    <xf numFmtId="0" fontId="18" fillId="0" borderId="11" xfId="0" applyFont="1" applyBorder="1" applyAlignment="1" applyProtection="1">
      <alignment vertical="center" wrapText="1"/>
    </xf>
    <xf numFmtId="0" fontId="15" fillId="0" borderId="12" xfId="0" applyFont="1" applyBorder="1" applyAlignment="1" applyProtection="1">
      <alignment vertical="center" wrapText="1"/>
    </xf>
    <xf numFmtId="0" fontId="0" fillId="0" borderId="13" xfId="0" applyBorder="1" applyAlignment="1" applyProtection="1"/>
    <xf numFmtId="2" fontId="15" fillId="0" borderId="9" xfId="0" applyNumberFormat="1" applyFont="1" applyFill="1" applyBorder="1" applyAlignment="1" applyProtection="1">
      <alignment horizontal="center" vertical="center"/>
    </xf>
    <xf numFmtId="2" fontId="15" fillId="0" borderId="8" xfId="0" applyNumberFormat="1" applyFont="1" applyFill="1" applyBorder="1" applyAlignment="1" applyProtection="1">
      <alignment horizontal="center" vertical="center"/>
    </xf>
    <xf numFmtId="2" fontId="15" fillId="0" borderId="10" xfId="0" applyNumberFormat="1" applyFont="1" applyFill="1" applyBorder="1" applyAlignment="1" applyProtection="1">
      <alignment horizontal="center" vertical="center"/>
    </xf>
    <xf numFmtId="0" fontId="15" fillId="0" borderId="1" xfId="0" applyFont="1" applyBorder="1" applyAlignment="1" applyProtection="1"/>
    <xf numFmtId="0" fontId="19" fillId="0" borderId="20" xfId="0" applyFont="1" applyBorder="1" applyAlignment="1" applyProtection="1">
      <alignment vertical="center"/>
    </xf>
    <xf numFmtId="0" fontId="0" fillId="0" borderId="20" xfId="0" applyBorder="1" applyAlignment="1" applyProtection="1">
      <alignment vertical="center"/>
    </xf>
    <xf numFmtId="0" fontId="19" fillId="0" borderId="6" xfId="0" applyFont="1" applyBorder="1" applyAlignment="1" applyProtection="1">
      <alignment vertical="center"/>
    </xf>
    <xf numFmtId="0" fontId="13" fillId="0" borderId="7" xfId="0" applyFont="1" applyBorder="1" applyAlignment="1" applyProtection="1">
      <alignment vertical="center"/>
    </xf>
    <xf numFmtId="0" fontId="8" fillId="0" borderId="20" xfId="0" applyFont="1" applyBorder="1" applyAlignment="1" applyProtection="1"/>
    <xf numFmtId="0" fontId="8" fillId="0" borderId="3" xfId="0" applyFont="1" applyBorder="1" applyAlignment="1" applyProtection="1"/>
    <xf numFmtId="0" fontId="0" fillId="0" borderId="3" xfId="0" applyBorder="1" applyAlignment="1" applyProtection="1"/>
    <xf numFmtId="0" fontId="18" fillId="0" borderId="5" xfId="0" applyFont="1" applyBorder="1" applyAlignment="1" applyProtection="1">
      <alignment horizontal="left" vertical="center"/>
    </xf>
    <xf numFmtId="0" fontId="0" fillId="0" borderId="6" xfId="0" applyBorder="1" applyAlignment="1" applyProtection="1">
      <alignment horizontal="left" vertical="center"/>
    </xf>
    <xf numFmtId="0" fontId="13" fillId="0" borderId="1" xfId="0" applyFont="1" applyBorder="1" applyAlignment="1" applyProtection="1"/>
    <xf numFmtId="0" fontId="22" fillId="0" borderId="20" xfId="0" applyFont="1" applyBorder="1" applyAlignment="1" applyProtection="1">
      <alignment vertical="center"/>
    </xf>
    <xf numFmtId="0" fontId="28" fillId="0" borderId="20" xfId="0" applyFont="1" applyBorder="1" applyAlignment="1" applyProtection="1">
      <alignment vertical="center"/>
    </xf>
    <xf numFmtId="0" fontId="30" fillId="0" borderId="0" xfId="0" applyFont="1" applyFill="1" applyBorder="1" applyAlignment="1" applyProtection="1">
      <alignment horizontal="left" vertical="center"/>
      <protection locked="0"/>
    </xf>
    <xf numFmtId="0" fontId="10" fillId="0" borderId="0" xfId="0" applyFont="1" applyBorder="1" applyAlignment="1" applyProtection="1">
      <alignment wrapText="1"/>
    </xf>
    <xf numFmtId="0" fontId="19" fillId="0" borderId="5" xfId="0" applyFont="1" applyBorder="1" applyAlignment="1" applyProtection="1">
      <alignment vertical="center"/>
    </xf>
    <xf numFmtId="0" fontId="19" fillId="0" borderId="7" xfId="0" applyFont="1" applyBorder="1" applyAlignment="1" applyProtection="1">
      <alignment vertical="center"/>
    </xf>
    <xf numFmtId="0" fontId="19" fillId="0" borderId="3" xfId="0" applyFont="1" applyBorder="1" applyAlignment="1" applyProtection="1">
      <alignment vertical="center"/>
    </xf>
    <xf numFmtId="0" fontId="0" fillId="0" borderId="3" xfId="0" applyBorder="1" applyAlignment="1" applyProtection="1">
      <alignment vertical="center"/>
    </xf>
    <xf numFmtId="0" fontId="10" fillId="0" borderId="0" xfId="0" applyFont="1" applyAlignment="1" applyProtection="1">
      <alignment vertical="center"/>
    </xf>
    <xf numFmtId="0" fontId="0" fillId="0" borderId="0" xfId="0" applyAlignment="1" applyProtection="1">
      <alignment vertical="center"/>
    </xf>
    <xf numFmtId="0" fontId="9" fillId="0" borderId="21" xfId="0" quotePrefix="1"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wrapText="1"/>
    </xf>
    <xf numFmtId="0" fontId="6" fillId="0" borderId="0" xfId="0" applyFont="1" applyAlignment="1">
      <alignment horizont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0" fillId="0" borderId="31" xfId="0" quotePrefix="1" applyFont="1" applyBorder="1" applyAlignment="1">
      <alignment horizontal="left" vertical="center" wrapText="1"/>
    </xf>
    <xf numFmtId="0" fontId="10" fillId="0" borderId="20" xfId="0" quotePrefix="1" applyFont="1" applyBorder="1" applyAlignment="1">
      <alignment horizontal="left" vertical="center" wrapText="1"/>
    </xf>
    <xf numFmtId="0" fontId="10" fillId="0" borderId="17" xfId="0" quotePrefix="1" applyFont="1" applyBorder="1" applyAlignment="1">
      <alignment horizontal="left" vertical="center" wrapText="1"/>
    </xf>
    <xf numFmtId="0" fontId="10" fillId="0" borderId="18" xfId="0" quotePrefix="1" applyFont="1" applyBorder="1" applyAlignment="1">
      <alignment horizontal="left" vertical="center" wrapText="1"/>
    </xf>
    <xf numFmtId="0" fontId="9" fillId="0" borderId="1" xfId="0" applyFont="1" applyFill="1" applyBorder="1" applyAlignment="1" applyProtection="1">
      <alignment vertical="center"/>
      <protection locked="0"/>
    </xf>
    <xf numFmtId="0" fontId="0" fillId="0" borderId="1" xfId="0" applyFill="1" applyBorder="1" applyAlignment="1" applyProtection="1">
      <protection locked="0"/>
    </xf>
    <xf numFmtId="0" fontId="7" fillId="0" borderId="24" xfId="0" applyFont="1" applyBorder="1" applyAlignment="1" applyProtection="1">
      <alignment horizontal="left" vertical="center"/>
    </xf>
    <xf numFmtId="0" fontId="0" fillId="0" borderId="6" xfId="0" applyBorder="1" applyAlignment="1">
      <alignment horizontal="left" vertical="center"/>
    </xf>
    <xf numFmtId="166" fontId="10" fillId="0" borderId="1" xfId="0" applyNumberFormat="1" applyFont="1" applyFill="1" applyBorder="1" applyAlignment="1" applyProtection="1">
      <alignment horizontal="center" vertical="center"/>
    </xf>
    <xf numFmtId="10" fontId="10" fillId="0" borderId="1" xfId="0" applyNumberFormat="1" applyFont="1" applyFill="1" applyBorder="1" applyAlignment="1" applyProtection="1">
      <alignment horizontal="center" vertical="center"/>
    </xf>
    <xf numFmtId="0" fontId="7" fillId="0" borderId="5"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9" fillId="9" borderId="0" xfId="0" applyFont="1" applyFill="1" applyAlignment="1"/>
    <xf numFmtId="0" fontId="9" fillId="0" borderId="0" xfId="0" applyFont="1" applyAlignment="1"/>
    <xf numFmtId="0" fontId="8" fillId="0" borderId="9" xfId="2" applyFont="1" applyBorder="1" applyAlignment="1" applyProtection="1">
      <alignment horizontal="center" vertical="center" wrapText="1"/>
    </xf>
    <xf numFmtId="0" fontId="8" fillId="0" borderId="10" xfId="2" applyFont="1" applyBorder="1" applyAlignment="1" applyProtection="1">
      <alignment horizontal="center" vertical="center" wrapText="1"/>
    </xf>
    <xf numFmtId="0" fontId="9" fillId="10"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12"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8" fillId="0" borderId="3" xfId="2" applyFont="1" applyBorder="1" applyAlignment="1" applyProtection="1">
      <alignment horizontal="center" vertical="top" wrapText="1"/>
    </xf>
    <xf numFmtId="0" fontId="8" fillId="0" borderId="33" xfId="2" applyFont="1" applyBorder="1" applyAlignment="1" applyProtection="1">
      <alignment horizontal="center" vertical="center" wrapText="1"/>
    </xf>
    <xf numFmtId="0" fontId="8" fillId="0" borderId="37" xfId="2" applyFont="1" applyBorder="1" applyAlignment="1" applyProtection="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xf>
    <xf numFmtId="43" fontId="8" fillId="0" borderId="1" xfId="3" applyFont="1" applyBorder="1" applyAlignment="1" applyProtection="1">
      <alignment horizontal="left" vertical="center" wrapText="1"/>
    </xf>
    <xf numFmtId="0" fontId="9" fillId="0" borderId="1" xfId="0" applyFont="1" applyBorder="1" applyAlignment="1">
      <alignment wrapText="1"/>
    </xf>
    <xf numFmtId="9" fontId="8" fillId="0" borderId="9" xfId="4" applyFont="1" applyBorder="1" applyAlignment="1" applyProtection="1">
      <alignment horizontal="center" vertical="top" wrapText="1"/>
    </xf>
    <xf numFmtId="9" fontId="8" fillId="0" borderId="10" xfId="4" applyFont="1" applyBorder="1" applyAlignment="1" applyProtection="1">
      <alignment horizontal="center" vertical="top" wrapText="1"/>
    </xf>
    <xf numFmtId="0" fontId="13" fillId="0" borderId="5" xfId="0" applyFont="1" applyBorder="1" applyAlignment="1"/>
    <xf numFmtId="0" fontId="13" fillId="0" borderId="7" xfId="0" applyFont="1" applyBorder="1" applyAlignment="1"/>
    <xf numFmtId="0" fontId="1" fillId="0" borderId="20" xfId="0" applyFont="1" applyBorder="1" applyAlignment="1">
      <alignment horizontal="right" wrapText="1"/>
    </xf>
    <xf numFmtId="0" fontId="1" fillId="0" borderId="20" xfId="0" applyFont="1" applyBorder="1" applyAlignment="1">
      <alignment horizontal="right"/>
    </xf>
    <xf numFmtId="0" fontId="0" fillId="0" borderId="0" xfId="0" applyAlignment="1">
      <alignment vertical="center" wrapText="1"/>
    </xf>
    <xf numFmtId="0" fontId="0" fillId="0" borderId="0" xfId="0" applyAlignment="1">
      <alignment wrapText="1"/>
    </xf>
    <xf numFmtId="0" fontId="1" fillId="0" borderId="2" xfId="0" applyFont="1" applyBorder="1" applyAlignment="1">
      <alignment horizontal="center" vertical="center" wrapText="1"/>
    </xf>
    <xf numFmtId="0" fontId="0" fillId="0" borderId="26" xfId="0" applyBorder="1" applyAlignment="1">
      <alignment wrapText="1"/>
    </xf>
    <xf numFmtId="0" fontId="1" fillId="0" borderId="9" xfId="0" applyFont="1" applyBorder="1" applyAlignment="1">
      <alignment horizontal="center" vertical="center" wrapText="1"/>
    </xf>
    <xf numFmtId="0" fontId="0" fillId="0" borderId="8" xfId="0" applyBorder="1" applyAlignment="1"/>
    <xf numFmtId="0" fontId="0" fillId="0" borderId="8" xfId="0" applyBorder="1" applyAlignment="1">
      <alignment wrapText="1"/>
    </xf>
    <xf numFmtId="0" fontId="1" fillId="0" borderId="8" xfId="0" applyFont="1" applyBorder="1" applyAlignment="1">
      <alignment horizontal="center" vertical="center" wrapText="1"/>
    </xf>
    <xf numFmtId="0" fontId="0" fillId="0" borderId="26" xfId="0" applyBorder="1" applyAlignment="1">
      <alignment horizontal="center" vertical="center" wrapText="1"/>
    </xf>
    <xf numFmtId="0" fontId="28" fillId="0" borderId="1" xfId="0" applyFont="1" applyBorder="1" applyAlignment="1"/>
    <xf numFmtId="0" fontId="37" fillId="0" borderId="0" xfId="0" applyFont="1" applyAlignment="1">
      <alignment wrapText="1"/>
    </xf>
    <xf numFmtId="0" fontId="37" fillId="0" borderId="0" xfId="0" applyFont="1" applyAlignment="1"/>
    <xf numFmtId="0" fontId="1" fillId="0" borderId="14" xfId="0" applyFont="1" applyBorder="1" applyAlignment="1">
      <alignment vertical="center"/>
    </xf>
    <xf numFmtId="0" fontId="1" fillId="0" borderId="15" xfId="0" applyFont="1" applyBorder="1" applyAlignment="1">
      <alignment vertical="center"/>
    </xf>
    <xf numFmtId="0" fontId="0" fillId="0" borderId="16" xfId="0" applyBorder="1" applyAlignment="1"/>
    <xf numFmtId="0" fontId="1" fillId="0" borderId="17" xfId="0" applyFont="1" applyBorder="1" applyAlignment="1">
      <alignment vertical="center"/>
    </xf>
    <xf numFmtId="0" fontId="1" fillId="0" borderId="18" xfId="0" applyFont="1" applyBorder="1" applyAlignment="1">
      <alignment vertical="center"/>
    </xf>
    <xf numFmtId="0" fontId="0" fillId="0" borderId="19" xfId="0" applyBorder="1" applyAlignment="1"/>
    <xf numFmtId="0" fontId="0" fillId="0" borderId="7" xfId="0" applyBorder="1" applyAlignment="1"/>
    <xf numFmtId="0" fontId="0" fillId="4" borderId="1" xfId="0" applyFill="1" applyBorder="1" applyAlignment="1"/>
    <xf numFmtId="0" fontId="0" fillId="5" borderId="1" xfId="0" applyFill="1" applyBorder="1" applyAlignment="1"/>
    <xf numFmtId="0" fontId="0" fillId="6" borderId="1" xfId="0" applyFill="1" applyBorder="1" applyAlignment="1"/>
    <xf numFmtId="2" fontId="15" fillId="6" borderId="9" xfId="0" applyNumberFormat="1" applyFont="1" applyFill="1" applyBorder="1" applyAlignment="1" applyProtection="1">
      <alignment horizontal="center" vertical="center"/>
    </xf>
    <xf numFmtId="2" fontId="15" fillId="6" borderId="8" xfId="0" applyNumberFormat="1" applyFont="1" applyFill="1" applyBorder="1" applyAlignment="1" applyProtection="1">
      <alignment horizontal="center" vertical="center"/>
    </xf>
    <xf numFmtId="2" fontId="15" fillId="6" borderId="10" xfId="0" applyNumberFormat="1" applyFont="1" applyFill="1" applyBorder="1" applyAlignment="1" applyProtection="1">
      <alignment horizontal="center" vertical="center"/>
    </xf>
    <xf numFmtId="0" fontId="0" fillId="0" borderId="6" xfId="0" applyFill="1" applyBorder="1" applyAlignment="1" applyProtection="1"/>
    <xf numFmtId="0" fontId="15" fillId="0" borderId="5" xfId="0" applyFont="1" applyBorder="1" applyAlignment="1" applyProtection="1"/>
    <xf numFmtId="0" fontId="15" fillId="0" borderId="6" xfId="0" applyFont="1" applyBorder="1" applyAlignment="1" applyProtection="1"/>
  </cellXfs>
  <cellStyles count="5">
    <cellStyle name="Dezimal 2" xfId="3" xr:uid="{00000000-0005-0000-0000-000000000000}"/>
    <cellStyle name="Komma" xfId="1" builtinId="3"/>
    <cellStyle name="Prozent 2" xfId="4" xr:uid="{00000000-0005-0000-0000-000002000000}"/>
    <cellStyle name="Standard" xfId="0" builtinId="0"/>
    <cellStyle name="Standard 2" xfId="2" xr:uid="{00000000-0005-0000-0000-00000400000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95250</xdr:colOff>
          <xdr:row>0</xdr:row>
          <xdr:rowOff>28575</xdr:rowOff>
        </xdr:from>
        <xdr:to>
          <xdr:col>1</xdr:col>
          <xdr:colOff>457200</xdr:colOff>
          <xdr:row>4</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47625</xdr:rowOff>
        </xdr:from>
        <xdr:to>
          <xdr:col>1</xdr:col>
          <xdr:colOff>390525</xdr:colOff>
          <xdr:row>4</xdr:row>
          <xdr:rowOff>0</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206"/>
  <sheetViews>
    <sheetView showZeros="0" tabSelected="1" zoomScale="115" zoomScaleNormal="115" zoomScaleSheetLayoutView="115" workbookViewId="0">
      <selection activeCell="H10" sqref="H10"/>
    </sheetView>
  </sheetViews>
  <sheetFormatPr baseColWidth="10" defaultColWidth="11" defaultRowHeight="14.25" x14ac:dyDescent="0.2"/>
  <cols>
    <col min="1" max="1" width="4.625" style="85" customWidth="1"/>
    <col min="2" max="2" width="17.375" style="85" customWidth="1"/>
    <col min="3" max="3" width="21" style="85" customWidth="1"/>
    <col min="4" max="9" width="8.625" style="85" customWidth="1"/>
    <col min="10" max="16384" width="11" style="85"/>
  </cols>
  <sheetData>
    <row r="1" spans="1:9" ht="18" x14ac:dyDescent="0.25">
      <c r="B1" s="86" t="s">
        <v>0</v>
      </c>
      <c r="D1" s="87"/>
      <c r="E1" s="87"/>
      <c r="F1" s="87"/>
      <c r="G1" s="87"/>
      <c r="I1" s="88" t="s">
        <v>1</v>
      </c>
    </row>
    <row r="2" spans="1:9" ht="15.75" x14ac:dyDescent="0.25">
      <c r="B2" s="86" t="s">
        <v>2</v>
      </c>
      <c r="D2" s="89"/>
      <c r="E2" s="89"/>
      <c r="F2" s="89"/>
      <c r="G2" s="89"/>
      <c r="I2" s="88" t="s">
        <v>3</v>
      </c>
    </row>
    <row r="3" spans="1:9" ht="15.75" x14ac:dyDescent="0.25">
      <c r="B3" s="90" t="s">
        <v>368</v>
      </c>
      <c r="I3" s="88">
        <v>2024</v>
      </c>
    </row>
    <row r="4" spans="1:9" ht="5.25" customHeight="1" x14ac:dyDescent="0.2"/>
    <row r="5" spans="1:9" ht="15.75" x14ac:dyDescent="0.25">
      <c r="A5" s="507" t="s">
        <v>4</v>
      </c>
      <c r="B5" s="507"/>
      <c r="C5" s="507"/>
      <c r="D5" s="507"/>
      <c r="E5" s="507"/>
      <c r="F5" s="507"/>
      <c r="G5" s="507"/>
      <c r="H5" s="507"/>
      <c r="I5" s="508"/>
    </row>
    <row r="6" spans="1:9" ht="3" customHeight="1" x14ac:dyDescent="0.2"/>
    <row r="7" spans="1:9" ht="15" customHeight="1" x14ac:dyDescent="0.2">
      <c r="A7" s="91" t="s">
        <v>168</v>
      </c>
      <c r="B7" s="92"/>
      <c r="C7" s="509"/>
      <c r="D7" s="509"/>
      <c r="E7" s="509"/>
      <c r="F7" s="509"/>
      <c r="G7" s="509"/>
      <c r="H7" s="509"/>
      <c r="I7" s="443"/>
    </row>
    <row r="8" spans="1:9" ht="15" customHeight="1" x14ac:dyDescent="0.2">
      <c r="A8" s="93" t="s">
        <v>132</v>
      </c>
      <c r="B8" s="238"/>
      <c r="C8" s="509"/>
      <c r="D8" s="509"/>
      <c r="E8" s="509"/>
      <c r="F8" s="509"/>
      <c r="G8" s="509"/>
      <c r="H8" s="509"/>
      <c r="I8" s="443"/>
    </row>
    <row r="9" spans="1:9" ht="3.75" customHeight="1" thickBot="1" x14ac:dyDescent="0.25">
      <c r="A9" s="94"/>
      <c r="B9" s="241"/>
      <c r="C9" s="241"/>
      <c r="D9" s="126"/>
      <c r="E9" s="126"/>
      <c r="F9" s="126"/>
      <c r="G9" s="126"/>
      <c r="H9" s="126"/>
    </row>
    <row r="10" spans="1:9" ht="14.25" customHeight="1" thickBot="1" x14ac:dyDescent="0.25">
      <c r="A10" s="531" t="s">
        <v>251</v>
      </c>
      <c r="B10" s="508"/>
      <c r="C10" s="508"/>
      <c r="G10" s="126"/>
      <c r="H10" s="252" t="s">
        <v>8</v>
      </c>
      <c r="I10" s="253" t="s">
        <v>192</v>
      </c>
    </row>
    <row r="11" spans="1:9" ht="3.75" customHeight="1" x14ac:dyDescent="0.2">
      <c r="A11" s="531"/>
      <c r="B11" s="508"/>
      <c r="C11" s="508"/>
      <c r="D11" s="393"/>
      <c r="E11" s="393"/>
      <c r="F11" s="393"/>
      <c r="G11" s="394"/>
      <c r="H11" s="395"/>
    </row>
    <row r="12" spans="1:9" ht="37.5" customHeight="1" x14ac:dyDescent="0.2">
      <c r="A12" s="500"/>
      <c r="B12" s="500"/>
      <c r="C12" s="500"/>
      <c r="D12" s="377" t="s">
        <v>12</v>
      </c>
      <c r="E12" s="377" t="s">
        <v>170</v>
      </c>
      <c r="F12" s="377" t="s">
        <v>172</v>
      </c>
      <c r="G12" s="243" t="s">
        <v>173</v>
      </c>
      <c r="H12" s="243" t="s">
        <v>174</v>
      </c>
    </row>
    <row r="13" spans="1:9" ht="11.25" customHeight="1" x14ac:dyDescent="0.2">
      <c r="A13" s="436" t="s">
        <v>197</v>
      </c>
      <c r="B13" s="437"/>
      <c r="C13" s="108" t="s">
        <v>200</v>
      </c>
      <c r="D13" s="160"/>
      <c r="E13" s="149">
        <v>29.2</v>
      </c>
      <c r="F13" s="149">
        <f>E13*D13</f>
        <v>0</v>
      </c>
      <c r="G13" s="239">
        <f>IF($I$10="nein",DB_ÖLN!D99,DB_Bio!D99)</f>
        <v>7176.333333333333</v>
      </c>
      <c r="H13" s="239">
        <f>D13*G13</f>
        <v>0</v>
      </c>
    </row>
    <row r="14" spans="1:9" ht="11.25" customHeight="1" x14ac:dyDescent="0.2">
      <c r="A14" s="436" t="s">
        <v>261</v>
      </c>
      <c r="B14" s="437"/>
      <c r="C14" s="108" t="s">
        <v>161</v>
      </c>
      <c r="D14" s="160"/>
      <c r="E14" s="149">
        <v>36.5</v>
      </c>
      <c r="F14" s="149">
        <f t="shared" ref="F14:F19" si="0">E14*D14</f>
        <v>0</v>
      </c>
      <c r="G14" s="239">
        <f>IF($I$10="nein",DB_ÖLN!D100,DB_Bio!D100)</f>
        <v>-3891</v>
      </c>
      <c r="H14" s="239">
        <f>D14*G14</f>
        <v>0</v>
      </c>
    </row>
    <row r="15" spans="1:9" ht="11.25" customHeight="1" x14ac:dyDescent="0.2">
      <c r="A15" s="436" t="s">
        <v>93</v>
      </c>
      <c r="B15" s="437"/>
      <c r="C15" s="108" t="s">
        <v>94</v>
      </c>
      <c r="D15" s="160"/>
      <c r="E15" s="149">
        <v>5.5</v>
      </c>
      <c r="F15" s="149">
        <f t="shared" si="0"/>
        <v>0</v>
      </c>
      <c r="G15" s="160"/>
      <c r="H15" s="239">
        <f t="shared" ref="H15:H19" si="1">D15*G15</f>
        <v>0</v>
      </c>
    </row>
    <row r="16" spans="1:9" ht="11.25" customHeight="1" x14ac:dyDescent="0.2">
      <c r="A16" s="436" t="s">
        <v>148</v>
      </c>
      <c r="B16" s="437"/>
      <c r="C16" s="108" t="s">
        <v>95</v>
      </c>
      <c r="D16" s="160"/>
      <c r="E16" s="149">
        <v>23.7</v>
      </c>
      <c r="F16" s="149">
        <f t="shared" si="0"/>
        <v>0</v>
      </c>
      <c r="G16" s="160"/>
      <c r="H16" s="239">
        <f t="shared" si="1"/>
        <v>0</v>
      </c>
    </row>
    <row r="17" spans="1:12" ht="3.75" customHeight="1" x14ac:dyDescent="0.2">
      <c r="A17" s="96"/>
      <c r="B17" s="96"/>
      <c r="C17" s="96"/>
      <c r="D17" s="181"/>
      <c r="E17" s="182"/>
      <c r="F17" s="181">
        <v>0</v>
      </c>
      <c r="G17" s="188">
        <v>0</v>
      </c>
      <c r="H17" s="181">
        <v>0</v>
      </c>
    </row>
    <row r="18" spans="1:12" ht="11.25" customHeight="1" x14ac:dyDescent="0.2">
      <c r="A18" s="436" t="s">
        <v>125</v>
      </c>
      <c r="B18" s="437"/>
      <c r="C18" s="108" t="s">
        <v>114</v>
      </c>
      <c r="D18" s="160"/>
      <c r="E18" s="149">
        <v>16.399999999999999</v>
      </c>
      <c r="F18" s="149">
        <f t="shared" si="0"/>
        <v>0</v>
      </c>
      <c r="G18" s="160">
        <v>0</v>
      </c>
      <c r="H18" s="239">
        <f t="shared" si="1"/>
        <v>0</v>
      </c>
    </row>
    <row r="19" spans="1:12" ht="11.25" customHeight="1" x14ac:dyDescent="0.2">
      <c r="A19" s="436" t="s">
        <v>126</v>
      </c>
      <c r="B19" s="437"/>
      <c r="C19" s="108" t="s">
        <v>114</v>
      </c>
      <c r="D19" s="160"/>
      <c r="E19" s="149">
        <v>14.6</v>
      </c>
      <c r="F19" s="149">
        <f t="shared" si="0"/>
        <v>0</v>
      </c>
      <c r="G19" s="160">
        <v>0</v>
      </c>
      <c r="H19" s="239">
        <f t="shared" si="1"/>
        <v>0</v>
      </c>
    </row>
    <row r="20" spans="1:12" ht="6" customHeight="1" x14ac:dyDescent="0.2">
      <c r="A20" s="146"/>
      <c r="B20" s="147"/>
      <c r="C20" s="124"/>
      <c r="D20" s="266"/>
      <c r="E20" s="183"/>
      <c r="F20" s="181"/>
      <c r="G20" s="181"/>
      <c r="H20" s="181"/>
    </row>
    <row r="21" spans="1:12" x14ac:dyDescent="0.2">
      <c r="A21" s="536" t="s">
        <v>250</v>
      </c>
      <c r="B21" s="537"/>
      <c r="C21" s="537"/>
      <c r="E21" s="403"/>
      <c r="F21" s="530"/>
      <c r="G21" s="530"/>
    </row>
    <row r="22" spans="1:12" ht="3" customHeight="1" x14ac:dyDescent="0.2">
      <c r="A22" s="519"/>
      <c r="B22" s="519"/>
      <c r="C22" s="519"/>
      <c r="D22" s="210"/>
      <c r="E22" s="267"/>
      <c r="F22" s="267"/>
      <c r="G22" s="268"/>
      <c r="H22" s="269"/>
      <c r="I22" s="106"/>
    </row>
    <row r="23" spans="1:12" ht="11.25" customHeight="1" x14ac:dyDescent="0.2">
      <c r="A23" s="510" t="s">
        <v>215</v>
      </c>
      <c r="B23" s="485"/>
      <c r="C23" s="199" t="str">
        <f>IF(Berechnungen_Grundlagen!A31="ja",Berechnungen_Grundlagen!C34,"")</f>
        <v>(wenn in mehreren Zonen, % angeben)</v>
      </c>
      <c r="D23" s="200" t="s">
        <v>207</v>
      </c>
      <c r="E23" s="200" t="s">
        <v>216</v>
      </c>
      <c r="F23" s="200" t="s">
        <v>205</v>
      </c>
      <c r="G23" s="200" t="s">
        <v>206</v>
      </c>
      <c r="H23" s="200" t="s">
        <v>208</v>
      </c>
      <c r="I23" s="200" t="s">
        <v>209</v>
      </c>
    </row>
    <row r="24" spans="1:12" s="106" customFormat="1" ht="3" customHeight="1" x14ac:dyDescent="0.2">
      <c r="A24" s="310"/>
      <c r="B24" s="92"/>
      <c r="C24" s="311"/>
      <c r="D24" s="312"/>
      <c r="E24" s="312"/>
      <c r="F24" s="312"/>
      <c r="G24" s="312"/>
      <c r="H24" s="312"/>
      <c r="I24" s="312"/>
    </row>
    <row r="25" spans="1:12" ht="11.25" customHeight="1" x14ac:dyDescent="0.2">
      <c r="A25" s="528" t="s">
        <v>271</v>
      </c>
      <c r="B25" s="529"/>
      <c r="C25" s="313"/>
      <c r="D25" s="314"/>
      <c r="E25" s="314"/>
      <c r="F25" s="314"/>
      <c r="G25" s="314"/>
      <c r="H25" s="314"/>
      <c r="I25" s="314"/>
      <c r="K25" s="304"/>
      <c r="L25" s="304"/>
    </row>
    <row r="26" spans="1:12" ht="11.25" customHeight="1" x14ac:dyDescent="0.2">
      <c r="A26" s="510" t="str">
        <f>IF(Berechnungen_Grundlagen!A31="ja",Berechnungen_Grundlagen!A36,"")</f>
        <v>Anteil (%)</v>
      </c>
      <c r="B26" s="485"/>
      <c r="C26" s="199" t="str">
        <f>IF(Berechnungen_Grundlagen!A31="ja",Berechnungen_Grundlagen!C36,Berechnungen_Grundlagen!A71)</f>
        <v>(Summe muss 100% sein)</v>
      </c>
      <c r="D26" s="273"/>
      <c r="E26" s="273"/>
      <c r="F26" s="273"/>
      <c r="G26" s="273"/>
      <c r="H26" s="273"/>
      <c r="I26" s="273"/>
    </row>
    <row r="27" spans="1:12" ht="11.25" customHeight="1" x14ac:dyDescent="0.2">
      <c r="A27" s="510" t="str">
        <f>IF(Berechnungen_Grundlagen!A31="ja",Berechnungen_Grundlagen!A37,"")</f>
        <v>Flächenbedarf (ha)</v>
      </c>
      <c r="B27" s="485"/>
      <c r="C27" s="199" t="str">
        <f>IF(Berechnungen_Grundlagen!A31="ja","",Berechnungen_Grundlagen!A71)</f>
        <v/>
      </c>
      <c r="D27" s="198">
        <f>Berechnungen_Grundlagen!D37</f>
        <v>0</v>
      </c>
      <c r="E27" s="198">
        <f>Berechnungen_Grundlagen!E37</f>
        <v>0</v>
      </c>
      <c r="F27" s="198">
        <f>Berechnungen_Grundlagen!F37</f>
        <v>0</v>
      </c>
      <c r="G27" s="198">
        <f>Berechnungen_Grundlagen!G37</f>
        <v>0</v>
      </c>
      <c r="H27" s="198">
        <f>Berechnungen_Grundlagen!H37</f>
        <v>0</v>
      </c>
      <c r="I27" s="198">
        <f>Berechnungen_Grundlagen!I37</f>
        <v>0</v>
      </c>
      <c r="K27" s="209"/>
      <c r="L27" s="209"/>
    </row>
    <row r="28" spans="1:12" s="123" customFormat="1" ht="3" customHeight="1" x14ac:dyDescent="0.2">
      <c r="A28" s="326"/>
      <c r="B28" s="258"/>
      <c r="C28" s="258"/>
      <c r="D28" s="223"/>
      <c r="E28" s="223"/>
      <c r="F28" s="223"/>
      <c r="G28" s="223"/>
      <c r="H28" s="223"/>
      <c r="I28" s="327"/>
      <c r="K28" s="218"/>
      <c r="L28" s="218"/>
    </row>
    <row r="29" spans="1:12" s="123" customFormat="1" ht="11.25" customHeight="1" x14ac:dyDescent="0.2">
      <c r="A29" s="527" t="s">
        <v>276</v>
      </c>
      <c r="B29" s="447"/>
      <c r="C29" s="447"/>
      <c r="D29" s="208" t="str">
        <f>IF(D27=0,"",IF(AND(D27=0,F37=0,F38=0),"",IF(D27&lt;=SUM(F37:F38),"ja","nein")))</f>
        <v/>
      </c>
      <c r="E29" s="208" t="str">
        <f>IF(E27=0,"",IF(AND(E27=0,F41=0,F42=0),"",IF(E27&lt;=SUM(F41:F42),"ja","nein")))</f>
        <v/>
      </c>
      <c r="F29" s="208" t="str">
        <f>IF(F27=0,"",IF(AND(F27=0,F45=0,F46=0),"",IF(F27&lt;=SUM(F45:F46),"ja","nein")))</f>
        <v/>
      </c>
      <c r="G29" s="208" t="str">
        <f>IF(G27=0,"",IF(AND(G27=0,F49=0,F50=0),"",IF(G27&lt;=SUM(F49:F50),"ja","nein")))</f>
        <v/>
      </c>
      <c r="H29" s="208" t="str">
        <f>IF(H27=0,"",IF(AND(H27=0,F52=0,F52=0),"",IF(H27&lt;=SUM(F52),"ja","nein")))</f>
        <v/>
      </c>
      <c r="I29" s="208" t="str">
        <f>IF(I27=0,"",IF(AND(I27=0,F54=0,F54=0),"",IF(I27&lt;=SUM(F54),"ja","nein")))</f>
        <v/>
      </c>
      <c r="K29" s="305"/>
      <c r="L29" s="305"/>
    </row>
    <row r="30" spans="1:12" s="123" customFormat="1" ht="11.25" customHeight="1" x14ac:dyDescent="0.2">
      <c r="A30" s="510" t="s">
        <v>260</v>
      </c>
      <c r="B30" s="485"/>
      <c r="C30" s="486"/>
      <c r="D30" s="274"/>
      <c r="E30" s="274"/>
      <c r="F30" s="274"/>
      <c r="G30" s="274"/>
      <c r="H30" s="274"/>
      <c r="I30" s="274"/>
      <c r="K30" s="305"/>
      <c r="L30" s="305"/>
    </row>
    <row r="31" spans="1:12" ht="6" customHeight="1" x14ac:dyDescent="0.2">
      <c r="A31" s="146"/>
      <c r="B31" s="148"/>
      <c r="C31" s="148"/>
      <c r="D31" s="159"/>
      <c r="E31" s="159"/>
      <c r="F31" s="159"/>
      <c r="G31" s="159"/>
      <c r="H31" s="219"/>
      <c r="I31" s="131"/>
      <c r="K31" s="209"/>
      <c r="L31" s="148"/>
    </row>
    <row r="32" spans="1:12" ht="15" customHeight="1" thickBot="1" x14ac:dyDescent="0.25">
      <c r="A32" s="95" t="s">
        <v>252</v>
      </c>
      <c r="B32" s="147"/>
      <c r="C32" s="185"/>
      <c r="F32" s="181"/>
      <c r="G32" s="181"/>
      <c r="H32" s="181"/>
      <c r="J32" s="106"/>
      <c r="K32" s="207"/>
      <c r="L32" s="270"/>
    </row>
    <row r="33" spans="1:12" ht="15.75" customHeight="1" thickBot="1" x14ac:dyDescent="0.25">
      <c r="A33" s="511" t="str">
        <f>IF(SUM(F13:F19)=0,"",IF(Berechnungen_Grundlagen!A31="ja",Berechnungen_Grundlagen!A60,IF(Berechnungen_Grundlagen!A31="nein",Berechnungen_Grundlagen!A64,"")))</f>
        <v/>
      </c>
      <c r="B33" s="512"/>
      <c r="C33" s="512"/>
      <c r="D33" s="512"/>
      <c r="E33" s="512"/>
      <c r="F33" s="512"/>
      <c r="G33" s="512"/>
      <c r="H33" s="512"/>
      <c r="I33" s="513"/>
      <c r="K33" s="209"/>
      <c r="L33" s="209"/>
    </row>
    <row r="34" spans="1:12" ht="16.5" customHeight="1" x14ac:dyDescent="0.2">
      <c r="A34" s="96"/>
      <c r="B34" s="96"/>
      <c r="C34" s="96"/>
      <c r="D34" s="181"/>
      <c r="E34" s="182"/>
      <c r="F34" s="181"/>
    </row>
    <row r="35" spans="1:12" ht="14.25" customHeight="1" x14ac:dyDescent="0.2">
      <c r="A35" s="95" t="s">
        <v>253</v>
      </c>
      <c r="B35" s="96"/>
      <c r="C35" s="96"/>
      <c r="D35" s="96"/>
      <c r="E35" s="96"/>
      <c r="F35" s="96"/>
      <c r="G35" s="96"/>
      <c r="H35" s="96"/>
    </row>
    <row r="36" spans="1:12" ht="48" x14ac:dyDescent="0.2">
      <c r="A36" s="139" t="s">
        <v>6</v>
      </c>
      <c r="B36" s="525" t="s">
        <v>245</v>
      </c>
      <c r="C36" s="526"/>
      <c r="D36" s="140"/>
      <c r="E36" s="141"/>
      <c r="F36" s="243" t="s">
        <v>212</v>
      </c>
      <c r="G36" s="243" t="s">
        <v>175</v>
      </c>
      <c r="H36" s="243" t="s">
        <v>243</v>
      </c>
      <c r="I36" s="243" t="s">
        <v>244</v>
      </c>
    </row>
    <row r="37" spans="1:12" ht="11.25" customHeight="1" x14ac:dyDescent="0.2">
      <c r="A37" s="97">
        <v>31</v>
      </c>
      <c r="B37" s="436" t="s">
        <v>52</v>
      </c>
      <c r="C37" s="504"/>
      <c r="D37" s="504"/>
      <c r="E37" s="501"/>
      <c r="F37" s="168"/>
      <c r="G37" s="98">
        <f>IF($I$10="nein",DB_ÖLN!F4,DB_Bio!F4)</f>
        <v>140</v>
      </c>
      <c r="H37" s="514">
        <f>D27</f>
        <v>0</v>
      </c>
      <c r="I37" s="99">
        <f>Berechnungen_Grundlagen!I97</f>
        <v>0</v>
      </c>
    </row>
    <row r="38" spans="1:12" ht="11.25" customHeight="1" x14ac:dyDescent="0.2">
      <c r="A38" s="97">
        <v>31</v>
      </c>
      <c r="B38" s="436" t="s">
        <v>53</v>
      </c>
      <c r="C38" s="449"/>
      <c r="D38" s="449"/>
      <c r="E38" s="481"/>
      <c r="F38" s="168"/>
      <c r="G38" s="98">
        <f>IF($I$10="nein",DB_ÖLN!F5,DB_Bio!F5)</f>
        <v>110</v>
      </c>
      <c r="H38" s="515"/>
      <c r="I38" s="99" t="str">
        <f>Berechnungen_Grundlagen!I98</f>
        <v/>
      </c>
      <c r="J38" s="123"/>
    </row>
    <row r="39" spans="1:12" ht="11.25" customHeight="1" x14ac:dyDescent="0.2">
      <c r="A39" s="100">
        <v>31</v>
      </c>
      <c r="B39" s="436" t="s">
        <v>142</v>
      </c>
      <c r="C39" s="449"/>
      <c r="D39" s="449"/>
      <c r="E39" s="481"/>
      <c r="F39" s="169"/>
      <c r="G39" s="98">
        <f>IF($I$10="nein",DB_ÖLN!F6,DB_Bio!F6)</f>
        <v>55</v>
      </c>
      <c r="H39" s="516"/>
      <c r="I39" s="99">
        <f>Berechnungen_Grundlagen!I99</f>
        <v>0</v>
      </c>
    </row>
    <row r="40" spans="1:12" s="106" customFormat="1" ht="3" customHeight="1" x14ac:dyDescent="0.2">
      <c r="A40" s="101"/>
      <c r="B40" s="504"/>
      <c r="C40" s="449"/>
      <c r="D40" s="449"/>
      <c r="E40" s="449"/>
      <c r="F40" s="165"/>
      <c r="G40" s="130"/>
      <c r="H40" s="131"/>
      <c r="I40" s="102"/>
    </row>
    <row r="41" spans="1:12" ht="11.25" customHeight="1" x14ac:dyDescent="0.2">
      <c r="A41" s="103">
        <v>41</v>
      </c>
      <c r="B41" s="436" t="s">
        <v>52</v>
      </c>
      <c r="C41" s="449"/>
      <c r="D41" s="449"/>
      <c r="E41" s="481"/>
      <c r="F41" s="170"/>
      <c r="G41" s="98">
        <f>IF($I$10="nein",DB_ÖLN!F8,DB_Bio!F8)</f>
        <v>120</v>
      </c>
      <c r="H41" s="514">
        <f>E27</f>
        <v>0</v>
      </c>
      <c r="I41" s="99">
        <f>Berechnungen_Grundlagen!I101</f>
        <v>0</v>
      </c>
    </row>
    <row r="42" spans="1:12" ht="11.25" customHeight="1" x14ac:dyDescent="0.2">
      <c r="A42" s="97">
        <v>41</v>
      </c>
      <c r="B42" s="436" t="s">
        <v>53</v>
      </c>
      <c r="C42" s="449"/>
      <c r="D42" s="449"/>
      <c r="E42" s="481"/>
      <c r="F42" s="168"/>
      <c r="G42" s="98">
        <f>IF($I$10="nein",DB_ÖLN!F9,DB_Bio!F9)</f>
        <v>100</v>
      </c>
      <c r="H42" s="515"/>
      <c r="I42" s="99" t="str">
        <f>Berechnungen_Grundlagen!I102</f>
        <v/>
      </c>
    </row>
    <row r="43" spans="1:12" ht="11.25" customHeight="1" x14ac:dyDescent="0.2">
      <c r="A43" s="97">
        <v>41</v>
      </c>
      <c r="B43" s="436" t="s">
        <v>142</v>
      </c>
      <c r="C43" s="449"/>
      <c r="D43" s="449"/>
      <c r="E43" s="481"/>
      <c r="F43" s="168"/>
      <c r="G43" s="98">
        <f>IF($I$10="nein",DB_ÖLN!F10,DB_Bio!F10)</f>
        <v>50</v>
      </c>
      <c r="H43" s="516"/>
      <c r="I43" s="99">
        <f>Berechnungen_Grundlagen!I103</f>
        <v>0</v>
      </c>
    </row>
    <row r="44" spans="1:12" s="106" customFormat="1" ht="3" customHeight="1" x14ac:dyDescent="0.2">
      <c r="A44" s="101"/>
      <c r="B44" s="504"/>
      <c r="C44" s="449"/>
      <c r="D44" s="449"/>
      <c r="E44" s="449"/>
      <c r="F44" s="165"/>
      <c r="G44" s="130"/>
      <c r="H44" s="131"/>
      <c r="I44" s="102"/>
    </row>
    <row r="45" spans="1:12" ht="11.25" customHeight="1" x14ac:dyDescent="0.2">
      <c r="A45" s="97">
        <v>51</v>
      </c>
      <c r="B45" s="436" t="s">
        <v>52</v>
      </c>
      <c r="C45" s="449"/>
      <c r="D45" s="449"/>
      <c r="E45" s="481"/>
      <c r="F45" s="168"/>
      <c r="G45" s="98">
        <f>IF($I$10="nein",DB_ÖLN!F12,DB_Bio!F12)</f>
        <v>110</v>
      </c>
      <c r="H45" s="514">
        <f>F27</f>
        <v>0</v>
      </c>
      <c r="I45" s="251">
        <f>Berechnungen_Grundlagen!I105</f>
        <v>0</v>
      </c>
    </row>
    <row r="46" spans="1:12" ht="11.25" customHeight="1" x14ac:dyDescent="0.2">
      <c r="A46" s="97">
        <v>51</v>
      </c>
      <c r="B46" s="436" t="s">
        <v>53</v>
      </c>
      <c r="C46" s="449"/>
      <c r="D46" s="449"/>
      <c r="E46" s="481"/>
      <c r="F46" s="168"/>
      <c r="G46" s="98">
        <f>IF($I$10="nein",DB_ÖLN!F13,DB_Bio!F13)</f>
        <v>90</v>
      </c>
      <c r="H46" s="515"/>
      <c r="I46" s="251" t="str">
        <f>Berechnungen_Grundlagen!I106</f>
        <v/>
      </c>
    </row>
    <row r="47" spans="1:12" ht="11.25" customHeight="1" x14ac:dyDescent="0.2">
      <c r="A47" s="97">
        <v>51</v>
      </c>
      <c r="B47" s="436" t="s">
        <v>142</v>
      </c>
      <c r="C47" s="449"/>
      <c r="D47" s="449"/>
      <c r="E47" s="481"/>
      <c r="F47" s="168"/>
      <c r="G47" s="98">
        <f>IF($I$10="nein",DB_ÖLN!F14,DB_Bio!F14)</f>
        <v>45</v>
      </c>
      <c r="H47" s="516"/>
      <c r="I47" s="251">
        <f>Berechnungen_Grundlagen!I107</f>
        <v>0</v>
      </c>
    </row>
    <row r="48" spans="1:12" s="106" customFormat="1" ht="3" customHeight="1" x14ac:dyDescent="0.2">
      <c r="A48" s="101"/>
      <c r="B48" s="504"/>
      <c r="C48" s="449"/>
      <c r="D48" s="449"/>
      <c r="E48" s="449"/>
      <c r="F48" s="165"/>
      <c r="G48" s="130"/>
      <c r="H48" s="131"/>
      <c r="I48" s="102"/>
    </row>
    <row r="49" spans="1:9" ht="11.25" customHeight="1" x14ac:dyDescent="0.2">
      <c r="A49" s="97">
        <v>52</v>
      </c>
      <c r="B49" s="436" t="s">
        <v>52</v>
      </c>
      <c r="C49" s="449"/>
      <c r="D49" s="449"/>
      <c r="E49" s="481"/>
      <c r="F49" s="168"/>
      <c r="G49" s="98">
        <f>IF($I$10="nein",DB_ÖLN!F16,DB_Bio!F16)</f>
        <v>100</v>
      </c>
      <c r="H49" s="514">
        <f>G27</f>
        <v>0</v>
      </c>
      <c r="I49" s="251" t="str">
        <f>IF(F49="","",IF((F50-H49)&gt;=0,F49*G49,IF(F50-H49&lt;0,((F49+(F50-H49))*G49),"")))</f>
        <v/>
      </c>
    </row>
    <row r="50" spans="1:9" ht="11.25" customHeight="1" x14ac:dyDescent="0.2">
      <c r="A50" s="97">
        <v>52</v>
      </c>
      <c r="B50" s="436" t="s">
        <v>246</v>
      </c>
      <c r="C50" s="449"/>
      <c r="D50" s="449"/>
      <c r="E50" s="481"/>
      <c r="F50" s="168"/>
      <c r="G50" s="98">
        <f>IF($I$10="nein",DB_ÖLN!F17,DB_Bio!F17)</f>
        <v>80</v>
      </c>
      <c r="H50" s="516"/>
      <c r="I50" s="251">
        <f>IF(F50=0,0,IF(AND(F50&lt;&gt;0,(F50-H49)&gt;=0),((F50)-H49)*G50,""))</f>
        <v>0</v>
      </c>
    </row>
    <row r="51" spans="1:9" s="106" customFormat="1" ht="3" customHeight="1" x14ac:dyDescent="0.2">
      <c r="A51" s="101"/>
      <c r="B51" s="504"/>
      <c r="C51" s="449"/>
      <c r="D51" s="449"/>
      <c r="E51" s="449"/>
      <c r="F51" s="165"/>
      <c r="G51" s="130"/>
      <c r="H51" s="131"/>
      <c r="I51" s="102"/>
    </row>
    <row r="52" spans="1:9" ht="11.25" customHeight="1" x14ac:dyDescent="0.2">
      <c r="A52" s="97">
        <v>53</v>
      </c>
      <c r="B52" s="436" t="s">
        <v>55</v>
      </c>
      <c r="C52" s="449"/>
      <c r="D52" s="449"/>
      <c r="E52" s="481"/>
      <c r="F52" s="168"/>
      <c r="G52" s="98">
        <f>IF($I$10="nein",DB_ÖLN!F19,DB_Bio!F19)</f>
        <v>70</v>
      </c>
      <c r="H52" s="157">
        <f>H27</f>
        <v>0</v>
      </c>
      <c r="I52" s="251">
        <f>IF(F52=0,0,IF(AND(F52&lt;&gt;0,(F52-H51)&gt;=0),((F52)-H51)*G52,""))</f>
        <v>0</v>
      </c>
    </row>
    <row r="53" spans="1:9" s="106" customFormat="1" ht="3" customHeight="1" x14ac:dyDescent="0.2">
      <c r="A53" s="101"/>
      <c r="B53" s="504"/>
      <c r="C53" s="449"/>
      <c r="D53" s="449"/>
      <c r="E53" s="449"/>
      <c r="F53" s="165"/>
      <c r="G53" s="130"/>
      <c r="H53" s="158"/>
      <c r="I53" s="102"/>
    </row>
    <row r="54" spans="1:9" ht="11.25" customHeight="1" x14ac:dyDescent="0.2">
      <c r="A54" s="97">
        <v>54</v>
      </c>
      <c r="B54" s="436" t="s">
        <v>55</v>
      </c>
      <c r="C54" s="449"/>
      <c r="D54" s="449"/>
      <c r="E54" s="481"/>
      <c r="F54" s="168"/>
      <c r="G54" s="98">
        <f>IF($I$10="nein",DB_ÖLN!F21,DB_Bio!F21)</f>
        <v>60</v>
      </c>
      <c r="H54" s="157">
        <f>I27</f>
        <v>0</v>
      </c>
      <c r="I54" s="251">
        <f>IF(F54=0,0,IF(AND(F54&lt;&gt;0,(F54-H53)&gt;=0),((F54)-H53)*G54,""))</f>
        <v>0</v>
      </c>
    </row>
    <row r="55" spans="1:9" ht="3" customHeight="1" x14ac:dyDescent="0.2">
      <c r="A55" s="133"/>
      <c r="B55" s="146"/>
      <c r="C55" s="148"/>
      <c r="D55" s="255"/>
      <c r="E55" s="148"/>
      <c r="F55" s="171"/>
      <c r="G55" s="134"/>
      <c r="H55" s="158"/>
      <c r="I55" s="132"/>
    </row>
    <row r="56" spans="1:9" s="153" customFormat="1" ht="11.25" customHeight="1" x14ac:dyDescent="0.25">
      <c r="A56" s="154" t="s">
        <v>249</v>
      </c>
      <c r="B56" s="155"/>
      <c r="C56" s="156"/>
      <c r="D56" s="156"/>
      <c r="E56" s="156"/>
      <c r="F56" s="172">
        <f>SUM(F37:F39,F41:F43,F45:F47,F49:F50,F52,F54)</f>
        <v>0</v>
      </c>
      <c r="G56" s="237" t="s">
        <v>155</v>
      </c>
      <c r="H56" s="250"/>
      <c r="I56" s="236">
        <f>SUM(I37:I54,I58)</f>
        <v>0</v>
      </c>
    </row>
    <row r="57" spans="1:9" s="106" customFormat="1" ht="3" customHeight="1" x14ac:dyDescent="0.2">
      <c r="A57" s="104"/>
      <c r="B57" s="105"/>
      <c r="D57" s="131"/>
      <c r="F57" s="171"/>
      <c r="G57" s="135"/>
    </row>
    <row r="58" spans="1:9" ht="11.25" customHeight="1" x14ac:dyDescent="0.2">
      <c r="A58" s="517" t="s">
        <v>191</v>
      </c>
      <c r="B58" s="517"/>
      <c r="C58" s="517"/>
      <c r="D58" s="517"/>
      <c r="E58" s="517"/>
      <c r="F58" s="168"/>
      <c r="G58" s="234">
        <v>16</v>
      </c>
      <c r="H58" s="271"/>
      <c r="I58" s="235">
        <f>F58*G58</f>
        <v>0</v>
      </c>
    </row>
    <row r="59" spans="1:9" ht="3" customHeight="1" x14ac:dyDescent="0.2">
      <c r="A59" s="106"/>
      <c r="B59" s="106"/>
      <c r="C59" s="106"/>
      <c r="D59" s="106"/>
      <c r="G59" s="106"/>
      <c r="H59" s="106"/>
      <c r="I59" s="106"/>
    </row>
    <row r="60" spans="1:9" ht="22.5" customHeight="1" x14ac:dyDescent="0.2">
      <c r="D60" s="398" t="s">
        <v>123</v>
      </c>
      <c r="E60" s="398" t="s">
        <v>101</v>
      </c>
      <c r="F60" s="398" t="s">
        <v>102</v>
      </c>
      <c r="G60" s="377" t="s">
        <v>361</v>
      </c>
      <c r="H60" s="243" t="s">
        <v>173</v>
      </c>
      <c r="I60" s="243" t="s">
        <v>174</v>
      </c>
    </row>
    <row r="61" spans="1:9" ht="11.25" customHeight="1" x14ac:dyDescent="0.2">
      <c r="A61" s="396" t="s">
        <v>141</v>
      </c>
      <c r="B61" s="397"/>
      <c r="C61" s="397"/>
      <c r="D61" s="84"/>
      <c r="E61" s="84"/>
      <c r="F61" s="401"/>
      <c r="G61" s="274" t="s">
        <v>192</v>
      </c>
      <c r="H61" s="402" t="str">
        <f>IF(G61="ja",IF($I$10="nein",DB_ÖLN!D64,DB_Bio!D64),"")</f>
        <v/>
      </c>
      <c r="I61" s="239" t="str">
        <f>IF(H61="","",SUM(D61:F61)*H61)</f>
        <v/>
      </c>
    </row>
    <row r="62" spans="1:9" ht="3" hidden="1" customHeight="1" x14ac:dyDescent="0.2"/>
    <row r="63" spans="1:9" s="128" customFormat="1" ht="18" customHeight="1" x14ac:dyDescent="0.15">
      <c r="A63" s="129" t="s">
        <v>147</v>
      </c>
    </row>
    <row r="64" spans="1:9" ht="22.5" customHeight="1" x14ac:dyDescent="0.2">
      <c r="A64" s="95" t="s">
        <v>122</v>
      </c>
      <c r="G64" s="243" t="s">
        <v>124</v>
      </c>
      <c r="H64" s="243" t="s">
        <v>173</v>
      </c>
      <c r="I64" s="243" t="s">
        <v>174</v>
      </c>
    </row>
    <row r="65" spans="1:9" s="127" customFormat="1" ht="11.25" customHeight="1" x14ac:dyDescent="0.2">
      <c r="A65" s="475" t="str">
        <f>IF($I$10="nein",DB_ÖLN!A25,DB_Bio!A25)</f>
        <v xml:space="preserve">Winterweizen </v>
      </c>
      <c r="B65" s="476"/>
      <c r="C65" s="493" t="str">
        <f>IF($I$10="nein",DB_ÖLN!B25,DB_Bio!B25)</f>
        <v xml:space="preserve">ÖLN intensiv </v>
      </c>
      <c r="D65" s="493"/>
      <c r="E65" s="493"/>
      <c r="F65" s="494"/>
      <c r="G65" s="164"/>
      <c r="H65" s="239">
        <f>IF($I$10="nein",DB_ÖLN!D25,DB_Bio!D25)</f>
        <v>3017</v>
      </c>
      <c r="I65" s="239">
        <f>G65*H65</f>
        <v>0</v>
      </c>
    </row>
    <row r="66" spans="1:9" s="127" customFormat="1" ht="11.25" customHeight="1" x14ac:dyDescent="0.2">
      <c r="A66" s="475" t="str">
        <f>IF($I$10="nein",DB_ÖLN!A26,DB_Bio!A26)</f>
        <v>Sommerweizen</v>
      </c>
      <c r="B66" s="476"/>
      <c r="C66" s="493" t="str">
        <f>IF($I$10="nein",DB_ÖLN!B26,DB_Bio!B26)</f>
        <v xml:space="preserve">ÖLN intensiv </v>
      </c>
      <c r="D66" s="493"/>
      <c r="E66" s="493"/>
      <c r="F66" s="494"/>
      <c r="G66" s="164"/>
      <c r="H66" s="239">
        <f>IF($I$10="nein",DB_ÖLN!D26,DB_Bio!D26)</f>
        <v>2563.6666666666665</v>
      </c>
      <c r="I66" s="239">
        <f t="shared" ref="I66:I89" si="2">G66*H66</f>
        <v>0</v>
      </c>
    </row>
    <row r="67" spans="1:9" s="127" customFormat="1" ht="11.25" customHeight="1" x14ac:dyDescent="0.2">
      <c r="A67" s="475" t="str">
        <f>IF($I$10="nein",DB_ÖLN!A27,DB_Bio!A27)</f>
        <v>Dinkel</v>
      </c>
      <c r="B67" s="476"/>
      <c r="C67" s="493" t="str">
        <f>IF($I$10="nein",DB_ÖLN!B27,DB_Bio!B27)</f>
        <v xml:space="preserve">ÖLN intensiv </v>
      </c>
      <c r="D67" s="493"/>
      <c r="E67" s="493"/>
      <c r="F67" s="494"/>
      <c r="G67" s="164"/>
      <c r="H67" s="239">
        <f>IF($I$10="nein",DB_ÖLN!D27,DB_Bio!D27)</f>
        <v>2415.3333333333335</v>
      </c>
      <c r="I67" s="239">
        <f t="shared" si="2"/>
        <v>0</v>
      </c>
    </row>
    <row r="68" spans="1:9" s="127" customFormat="1" ht="11.25" customHeight="1" x14ac:dyDescent="0.2">
      <c r="A68" s="475" t="str">
        <f>IF($I$10="nein",DB_ÖLN!A28,DB_Bio!A28)</f>
        <v xml:space="preserve">Roggen </v>
      </c>
      <c r="B68" s="476"/>
      <c r="C68" s="493" t="str">
        <f>IF($I$10="nein",DB_ÖLN!B28,DB_Bio!B28)</f>
        <v xml:space="preserve">ÖLN intensiv </v>
      </c>
      <c r="D68" s="493"/>
      <c r="E68" s="493"/>
      <c r="F68" s="494"/>
      <c r="G68" s="164"/>
      <c r="H68" s="239">
        <f>IF($I$10="nein",DB_ÖLN!D28,DB_Bio!D28)</f>
        <v>2406.6666666666665</v>
      </c>
      <c r="I68" s="239">
        <f t="shared" si="2"/>
        <v>0</v>
      </c>
    </row>
    <row r="69" spans="1:9" s="127" customFormat="1" ht="11.25" customHeight="1" x14ac:dyDescent="0.2">
      <c r="A69" s="475" t="str">
        <f>IF($I$10="nein",DB_ÖLN!A29,DB_Bio!A29)</f>
        <v xml:space="preserve">Triticale </v>
      </c>
      <c r="B69" s="476"/>
      <c r="C69" s="493" t="str">
        <f>IF($I$10="nein",DB_ÖLN!B29,DB_Bio!B29)</f>
        <v xml:space="preserve">ÖLN intensiv </v>
      </c>
      <c r="D69" s="493"/>
      <c r="E69" s="493"/>
      <c r="F69" s="494"/>
      <c r="G69" s="164"/>
      <c r="H69" s="239">
        <f>IF($I$10="nein",DB_ÖLN!D29,DB_Bio!D29)</f>
        <v>2293.6666666666665</v>
      </c>
      <c r="I69" s="239">
        <f t="shared" si="2"/>
        <v>0</v>
      </c>
    </row>
    <row r="70" spans="1:9" s="127" customFormat="1" ht="11.25" customHeight="1" x14ac:dyDescent="0.2">
      <c r="A70" s="475" t="str">
        <f>IF($I$10="nein",DB_ÖLN!A30,DB_Bio!A30)</f>
        <v>Wintergerste</v>
      </c>
      <c r="B70" s="476"/>
      <c r="C70" s="493" t="str">
        <f>IF($I$10="nein",DB_ÖLN!B30,DB_Bio!B30)</f>
        <v xml:space="preserve">ÖLN intensiv </v>
      </c>
      <c r="D70" s="493"/>
      <c r="E70" s="493"/>
      <c r="F70" s="494"/>
      <c r="G70" s="164"/>
      <c r="H70" s="239">
        <f>IF($I$10="nein",DB_ÖLN!D30,DB_Bio!D30)</f>
        <v>2414.3333333333335</v>
      </c>
      <c r="I70" s="239">
        <f t="shared" si="2"/>
        <v>0</v>
      </c>
    </row>
    <row r="71" spans="1:9" s="127" customFormat="1" ht="11.25" customHeight="1" x14ac:dyDescent="0.2">
      <c r="A71" s="475" t="str">
        <f>IF($I$10="nein",DB_ÖLN!A31,DB_Bio!A31)</f>
        <v xml:space="preserve">Sommerhafer </v>
      </c>
      <c r="B71" s="476"/>
      <c r="C71" s="493" t="str">
        <f>IF($I$10="nein",DB_ÖLN!B31,DB_Bio!B31)</f>
        <v xml:space="preserve">ÖLN intensiv </v>
      </c>
      <c r="D71" s="493"/>
      <c r="E71" s="493"/>
      <c r="F71" s="494"/>
      <c r="G71" s="164"/>
      <c r="H71" s="239">
        <f>IF($I$10="nein",DB_ÖLN!D31,DB_Bio!D31)</f>
        <v>1788.6666666666667</v>
      </c>
      <c r="I71" s="239">
        <f t="shared" si="2"/>
        <v>0</v>
      </c>
    </row>
    <row r="72" spans="1:9" s="106" customFormat="1" ht="3" customHeight="1" x14ac:dyDescent="0.2">
      <c r="A72" s="450"/>
      <c r="B72" s="449"/>
      <c r="C72" s="520"/>
      <c r="D72" s="520"/>
      <c r="E72" s="520"/>
      <c r="F72" s="485"/>
      <c r="G72" s="165"/>
      <c r="H72" s="107"/>
      <c r="I72" s="107"/>
    </row>
    <row r="73" spans="1:9" s="127" customFormat="1" ht="11.25" customHeight="1" x14ac:dyDescent="0.2">
      <c r="A73" s="475" t="str">
        <f>IF($I$10="nein",DB_ÖLN!A33,DB_Bio!A33)</f>
        <v xml:space="preserve">Ackerbohnen </v>
      </c>
      <c r="B73" s="476"/>
      <c r="C73" s="493" t="str">
        <f>IF($I$10="nein",DB_ÖLN!B33,DB_Bio!B33)</f>
        <v xml:space="preserve">ÖLN intensiv </v>
      </c>
      <c r="D73" s="493"/>
      <c r="E73" s="493"/>
      <c r="F73" s="494"/>
      <c r="G73" s="164"/>
      <c r="H73" s="239">
        <f>IF($I$10="nein",DB_ÖLN!D33,DB_Bio!D33)</f>
        <v>1913.3333333333333</v>
      </c>
      <c r="I73" s="239">
        <f t="shared" si="2"/>
        <v>0</v>
      </c>
    </row>
    <row r="74" spans="1:9" s="127" customFormat="1" ht="11.25" customHeight="1" x14ac:dyDescent="0.2">
      <c r="A74" s="475" t="str">
        <f>IF($I$10="nein",DB_ÖLN!A34,DB_Bio!A34)</f>
        <v xml:space="preserve">Eiweisserbsen </v>
      </c>
      <c r="B74" s="476"/>
      <c r="C74" s="493" t="str">
        <f>IF($I$10="nein",DB_ÖLN!B34,DB_Bio!B34)</f>
        <v xml:space="preserve">ÖLN intensiv </v>
      </c>
      <c r="D74" s="493"/>
      <c r="E74" s="493"/>
      <c r="F74" s="494"/>
      <c r="G74" s="164"/>
      <c r="H74" s="239">
        <f>IF($I$10="nein",DB_ÖLN!D34,DB_Bio!D34)</f>
        <v>2049</v>
      </c>
      <c r="I74" s="239">
        <f t="shared" si="2"/>
        <v>0</v>
      </c>
    </row>
    <row r="75" spans="1:9" s="127" customFormat="1" ht="11.25" customHeight="1" x14ac:dyDescent="0.2">
      <c r="A75" s="475" t="str">
        <f>IF($I$10="nein",DB_ÖLN!A35,DB_Bio!A35)</f>
        <v xml:space="preserve">Sonnenblumen </v>
      </c>
      <c r="B75" s="476"/>
      <c r="C75" s="493" t="str">
        <f>IF($I$10="nein",DB_ÖLN!B35,DB_Bio!B35)</f>
        <v xml:space="preserve">ÖLN intensiv </v>
      </c>
      <c r="D75" s="493"/>
      <c r="E75" s="493"/>
      <c r="F75" s="494"/>
      <c r="G75" s="164"/>
      <c r="H75" s="239">
        <f>IF($I$10="nein",DB_ÖLN!D35,DB_Bio!D35)</f>
        <v>2970.3333333333335</v>
      </c>
      <c r="I75" s="239">
        <f t="shared" si="2"/>
        <v>0</v>
      </c>
    </row>
    <row r="76" spans="1:9" s="127" customFormat="1" ht="11.25" customHeight="1" x14ac:dyDescent="0.2">
      <c r="A76" s="475" t="str">
        <f>IF($I$10="nein",DB_ÖLN!A36,DB_Bio!A36)</f>
        <v xml:space="preserve">Raps </v>
      </c>
      <c r="B76" s="476"/>
      <c r="C76" s="493" t="str">
        <f>IF($I$10="nein",DB_ÖLN!B36,DB_Bio!B36)</f>
        <v xml:space="preserve">ÖLN intensiv </v>
      </c>
      <c r="D76" s="493"/>
      <c r="E76" s="493"/>
      <c r="F76" s="494"/>
      <c r="G76" s="164"/>
      <c r="H76" s="239">
        <f>IF($I$10="nein",DB_ÖLN!D36,DB_Bio!D36)</f>
        <v>3393</v>
      </c>
      <c r="I76" s="239">
        <f t="shared" si="2"/>
        <v>0</v>
      </c>
    </row>
    <row r="77" spans="1:9" s="127" customFormat="1" ht="11.25" customHeight="1" x14ac:dyDescent="0.2">
      <c r="A77" s="475" t="str">
        <f>IF($I$10="nein",DB_ÖLN!A37,DB_Bio!A37)</f>
        <v xml:space="preserve">Soja </v>
      </c>
      <c r="B77" s="476"/>
      <c r="C77" s="493" t="str">
        <f>IF($I$10="nein",DB_ÖLN!B37,DB_Bio!B37)</f>
        <v xml:space="preserve">ÖLN intensiv </v>
      </c>
      <c r="D77" s="493"/>
      <c r="E77" s="493"/>
      <c r="F77" s="494"/>
      <c r="G77" s="164"/>
      <c r="H77" s="239">
        <f>IF($I$10="nein",DB_ÖLN!D37,DB_Bio!D37)</f>
        <v>2143.3333333333335</v>
      </c>
      <c r="I77" s="239">
        <f t="shared" si="2"/>
        <v>0</v>
      </c>
    </row>
    <row r="78" spans="1:9" s="106" customFormat="1" ht="3" customHeight="1" x14ac:dyDescent="0.2">
      <c r="A78" s="450"/>
      <c r="B78" s="449"/>
      <c r="C78" s="520"/>
      <c r="D78" s="520"/>
      <c r="E78" s="520"/>
      <c r="F78" s="485"/>
      <c r="G78" s="165"/>
      <c r="H78" s="107"/>
      <c r="I78" s="107"/>
    </row>
    <row r="79" spans="1:9" s="127" customFormat="1" ht="11.25" customHeight="1" x14ac:dyDescent="0.2">
      <c r="A79" s="475" t="str">
        <f>IF($I$10="nein",DB_ÖLN!A39,DB_Bio!A39)</f>
        <v xml:space="preserve">Körnermais </v>
      </c>
      <c r="B79" s="476"/>
      <c r="C79" s="493" t="str">
        <f>IF($I$10="nein",DB_ÖLN!B39,DB_Bio!B39)</f>
        <v xml:space="preserve">ÖLN intensiv </v>
      </c>
      <c r="D79" s="493"/>
      <c r="E79" s="493"/>
      <c r="F79" s="494"/>
      <c r="G79" s="164"/>
      <c r="H79" s="239">
        <f>IF($I$10="nein",DB_ÖLN!D39,DB_Bio!D39)</f>
        <v>2090.3333333333335</v>
      </c>
      <c r="I79" s="239">
        <f t="shared" si="2"/>
        <v>0</v>
      </c>
    </row>
    <row r="80" spans="1:9" s="127" customFormat="1" ht="11.25" customHeight="1" x14ac:dyDescent="0.2">
      <c r="A80" s="475" t="str">
        <f>IF($I$10="nein",DB_ÖLN!A40,DB_Bio!A40)</f>
        <v xml:space="preserve">Silomais </v>
      </c>
      <c r="B80" s="476"/>
      <c r="C80" s="493" t="str">
        <f>IF($I$10="nein",DB_ÖLN!B40,DB_Bio!B40)</f>
        <v>ÖLN intensiv stehend ab Feld</v>
      </c>
      <c r="D80" s="493"/>
      <c r="E80" s="493"/>
      <c r="F80" s="494"/>
      <c r="G80" s="164"/>
      <c r="H80" s="239">
        <f>IF($I$10="nein",DB_ÖLN!D40,DB_Bio!D40)</f>
        <v>2008</v>
      </c>
      <c r="I80" s="239">
        <f t="shared" si="2"/>
        <v>0</v>
      </c>
    </row>
    <row r="81" spans="1:9" s="127" customFormat="1" ht="11.25" customHeight="1" x14ac:dyDescent="0.2">
      <c r="A81" s="475" t="str">
        <f>IF($I$10="nein",DB_ÖLN!A41,DB_Bio!A41)</f>
        <v xml:space="preserve">Silomais </v>
      </c>
      <c r="B81" s="476"/>
      <c r="C81" s="493" t="str">
        <f>IF($I$10="nein",DB_ÖLN!B41,DB_Bio!B41)</f>
        <v>ÖLN intensiv, eingeführt</v>
      </c>
      <c r="D81" s="493"/>
      <c r="E81" s="493"/>
      <c r="F81" s="494"/>
      <c r="G81" s="164"/>
      <c r="H81" s="239">
        <f>IF($I$10="nein",DB_ÖLN!D41,DB_Bio!D41)</f>
        <v>-572.33333333333337</v>
      </c>
      <c r="I81" s="239">
        <f t="shared" si="2"/>
        <v>0</v>
      </c>
    </row>
    <row r="82" spans="1:9" s="245" customFormat="1" ht="3" customHeight="1" x14ac:dyDescent="0.2">
      <c r="A82" s="505"/>
      <c r="B82" s="506"/>
      <c r="C82" s="520"/>
      <c r="D82" s="520"/>
      <c r="E82" s="520"/>
      <c r="F82" s="485"/>
      <c r="G82" s="166"/>
      <c r="H82" s="240"/>
      <c r="I82" s="240"/>
    </row>
    <row r="83" spans="1:9" s="127" customFormat="1" ht="11.25" customHeight="1" x14ac:dyDescent="0.2">
      <c r="A83" s="475" t="str">
        <f>IF($I$10="nein",DB_ÖLN!A43,DB_Bio!A43)</f>
        <v xml:space="preserve">Zuckerrüben </v>
      </c>
      <c r="B83" s="476"/>
      <c r="C83" s="493" t="str">
        <f>IF($I$10="nein",DB_ÖLN!B43,DB_Bio!B43)</f>
        <v>ÖLN intensiv</v>
      </c>
      <c r="D83" s="493"/>
      <c r="E83" s="493"/>
      <c r="F83" s="494"/>
      <c r="G83" s="164"/>
      <c r="H83" s="239">
        <f>IF($I$10="nein",DB_ÖLN!D43,DB_Bio!D43)</f>
        <v>4387.333333333333</v>
      </c>
      <c r="I83" s="239">
        <f t="shared" si="2"/>
        <v>0</v>
      </c>
    </row>
    <row r="84" spans="1:9" s="127" customFormat="1" ht="11.25" customHeight="1" x14ac:dyDescent="0.2">
      <c r="A84" s="475" t="str">
        <f>IF($I$10="nein",DB_ÖLN!A44,DB_Bio!A44)</f>
        <v xml:space="preserve">Futterrüben </v>
      </c>
      <c r="B84" s="476"/>
      <c r="C84" s="493" t="str">
        <f>IF($I$10="nein",DB_ÖLN!B44,DB_Bio!B44)</f>
        <v>ÖLN intensiv</v>
      </c>
      <c r="D84" s="493"/>
      <c r="E84" s="493"/>
      <c r="F84" s="494"/>
      <c r="G84" s="164"/>
      <c r="H84" s="239">
        <f>IF($I$10="nein",DB_ÖLN!D44,DB_Bio!D44)</f>
        <v>4793</v>
      </c>
      <c r="I84" s="239">
        <f t="shared" si="2"/>
        <v>0</v>
      </c>
    </row>
    <row r="85" spans="1:9" s="127" customFormat="1" ht="11.25" customHeight="1" x14ac:dyDescent="0.2">
      <c r="A85" s="475" t="str">
        <f>IF($I$10="nein",DB_ÖLN!A45,DB_Bio!A45)</f>
        <v xml:space="preserve">Speisekartoffeln  </v>
      </c>
      <c r="B85" s="476"/>
      <c r="C85" s="493" t="str">
        <f>IF($I$10="nein",DB_ÖLN!B45,DB_Bio!B45)</f>
        <v>ÖLN intensiv Grosshandel</v>
      </c>
      <c r="D85" s="493"/>
      <c r="E85" s="493"/>
      <c r="F85" s="494"/>
      <c r="G85" s="164"/>
      <c r="H85" s="239">
        <f>IF($I$10="nein",DB_ÖLN!D45,DB_Bio!D45)</f>
        <v>7527.666666666667</v>
      </c>
      <c r="I85" s="239">
        <f t="shared" si="2"/>
        <v>0</v>
      </c>
    </row>
    <row r="86" spans="1:9" s="106" customFormat="1" ht="3" customHeight="1" x14ac:dyDescent="0.2">
      <c r="A86" s="523"/>
      <c r="B86" s="524"/>
      <c r="C86" s="534"/>
      <c r="D86" s="534"/>
      <c r="E86" s="534"/>
      <c r="F86" s="535"/>
      <c r="G86" s="328"/>
      <c r="H86" s="329"/>
      <c r="I86" s="329"/>
    </row>
    <row r="87" spans="1:9" s="127" customFormat="1" ht="11.25" customHeight="1" x14ac:dyDescent="0.2">
      <c r="A87" s="475" t="str">
        <f>IF($I$10="nein",DB_ÖLN!A47,DB_Bio!A47)</f>
        <v xml:space="preserve">Kunstwiese </v>
      </c>
      <c r="B87" s="476"/>
      <c r="C87" s="493" t="str">
        <f>IF($I$10="nein",DB_ÖLN!B47,DB_Bio!B47)</f>
        <v>ÖLN intensiv, Futter eingeführt</v>
      </c>
      <c r="D87" s="493"/>
      <c r="E87" s="493"/>
      <c r="F87" s="494"/>
      <c r="G87" s="164"/>
      <c r="H87" s="239">
        <f>IF($I$10="nein",DB_ÖLN!D47,DB_Bio!D47)</f>
        <v>-939.33333333333337</v>
      </c>
      <c r="I87" s="239">
        <f t="shared" si="2"/>
        <v>0</v>
      </c>
    </row>
    <row r="88" spans="1:9" s="127" customFormat="1" ht="11.25" customHeight="1" x14ac:dyDescent="0.2">
      <c r="A88" s="475" t="str">
        <f>IF($I$10="nein",DB_ÖLN!A48,DB_Bio!A48)</f>
        <v xml:space="preserve">Naturwiese </v>
      </c>
      <c r="B88" s="476"/>
      <c r="C88" s="493" t="str">
        <f>IF($I$10="nein",DB_ÖLN!B48,DB_Bio!B48)</f>
        <v>ÖLN intensiv, Futter eingeführt</v>
      </c>
      <c r="D88" s="493"/>
      <c r="E88" s="493"/>
      <c r="F88" s="494"/>
      <c r="G88" s="164"/>
      <c r="H88" s="239">
        <f>IF($I$10="nein",DB_ÖLN!D48,DB_Bio!D48)</f>
        <v>-318</v>
      </c>
      <c r="I88" s="239">
        <f t="shared" si="2"/>
        <v>0</v>
      </c>
    </row>
    <row r="89" spans="1:9" s="127" customFormat="1" ht="11.25" customHeight="1" x14ac:dyDescent="0.2">
      <c r="A89" s="475" t="str">
        <f>IF($I$10="nein",DB_ÖLN!A49,DB_Bio!A49)</f>
        <v xml:space="preserve">Naturwiese </v>
      </c>
      <c r="B89" s="476"/>
      <c r="C89" s="493" t="str">
        <f>IF($I$10="nein",DB_ÖLN!B49,DB_Bio!B49)</f>
        <v>ÖLN wenig intensiv, Futter eingeführt</v>
      </c>
      <c r="D89" s="493"/>
      <c r="E89" s="493"/>
      <c r="F89" s="494"/>
      <c r="G89" s="164"/>
      <c r="H89" s="239">
        <f>IF($I$10="nein",DB_ÖLN!D49,DB_Bio!D49)</f>
        <v>309.66666666666669</v>
      </c>
      <c r="I89" s="239">
        <f t="shared" si="2"/>
        <v>0</v>
      </c>
    </row>
    <row r="90" spans="1:9" s="127" customFormat="1" ht="11.25" customHeight="1" x14ac:dyDescent="0.2">
      <c r="A90" s="475" t="str">
        <f>IF($I$10="nein",DB_ÖLN!A50,DB_Bio!A50)</f>
        <v xml:space="preserve">Naturwiese </v>
      </c>
      <c r="B90" s="476"/>
      <c r="C90" s="493" t="str">
        <f>IF($I$10="nein",DB_ÖLN!B50,DB_Bio!B50)</f>
        <v>ÖLN extensiv, Futter eingeführt</v>
      </c>
      <c r="D90" s="493"/>
      <c r="E90" s="493"/>
      <c r="F90" s="494"/>
      <c r="G90" s="164"/>
      <c r="H90" s="239">
        <f>IF($I$10="nein",DB_ÖLN!D50,DB_Bio!D50)</f>
        <v>1934.6666666666667</v>
      </c>
      <c r="I90" s="239">
        <f t="shared" ref="I90:I97" si="3">G90*H90</f>
        <v>0</v>
      </c>
    </row>
    <row r="91" spans="1:9" s="127" customFormat="1" ht="11.25" customHeight="1" x14ac:dyDescent="0.2">
      <c r="A91" s="475" t="str">
        <f>IF($I$10="nein",DB_ÖLN!A51,DB_Bio!A51)</f>
        <v>Buntbrache</v>
      </c>
      <c r="B91" s="476"/>
      <c r="C91" s="493" t="str">
        <f>IF($I$10="nein",DB_ÖLN!B51,DB_Bio!B51)</f>
        <v xml:space="preserve">4-jährig, ÖLN </v>
      </c>
      <c r="D91" s="493"/>
      <c r="E91" s="493"/>
      <c r="F91" s="494"/>
      <c r="G91" s="164"/>
      <c r="H91" s="239">
        <f>IF($I$10="nein",DB_ÖLN!D51,DB_Bio!D51)</f>
        <v>3187.6666666666665</v>
      </c>
      <c r="I91" s="239">
        <f t="shared" si="3"/>
        <v>0</v>
      </c>
    </row>
    <row r="92" spans="1:9" s="127" customFormat="1" ht="11.25" customHeight="1" x14ac:dyDescent="0.2">
      <c r="A92" s="475" t="str">
        <f>IF($I$10="nein",DB_ÖLN!A52,DB_Bio!A52)</f>
        <v>Rotationsbrache</v>
      </c>
      <c r="B92" s="476"/>
      <c r="C92" s="493" t="str">
        <f>IF($I$10="nein",DB_ÖLN!B52,DB_Bio!B52)</f>
        <v>ÖLN</v>
      </c>
      <c r="D92" s="493"/>
      <c r="E92" s="493"/>
      <c r="F92" s="494"/>
      <c r="G92" s="164"/>
      <c r="H92" s="239">
        <f>IF($I$10="nein",DB_ÖLN!D52,DB_Bio!D52)</f>
        <v>2715.6666666666665</v>
      </c>
      <c r="I92" s="239">
        <f t="shared" si="3"/>
        <v>0</v>
      </c>
    </row>
    <row r="93" spans="1:9" s="127" customFormat="1" ht="11.25" customHeight="1" x14ac:dyDescent="0.2">
      <c r="A93" s="475" t="str">
        <f>IF($I$10="nein",DB_ÖLN!A53,DB_Bio!A53)</f>
        <v>Hecke</v>
      </c>
      <c r="B93" s="476"/>
      <c r="C93" s="493" t="str">
        <f>IF($I$10="nein",DB_ÖLN!B53,DB_Bio!B53)</f>
        <v>bestehend</v>
      </c>
      <c r="D93" s="493"/>
      <c r="E93" s="493"/>
      <c r="F93" s="494"/>
      <c r="G93" s="164"/>
      <c r="H93" s="239">
        <f>IF($I$10="nein",DB_ÖLN!D53,DB_Bio!D53)</f>
        <v>1845.3333333333333</v>
      </c>
      <c r="I93" s="239">
        <f t="shared" si="3"/>
        <v>0</v>
      </c>
    </row>
    <row r="94" spans="1:9" s="106" customFormat="1" ht="3" customHeight="1" x14ac:dyDescent="0.2">
      <c r="A94" s="522"/>
      <c r="B94" s="500"/>
      <c r="C94" s="518"/>
      <c r="D94" s="518"/>
      <c r="E94" s="518"/>
      <c r="F94" s="519"/>
      <c r="G94" s="420"/>
      <c r="H94" s="421"/>
      <c r="I94" s="421"/>
    </row>
    <row r="95" spans="1:9" s="127" customFormat="1" ht="11.25" customHeight="1" x14ac:dyDescent="0.2">
      <c r="A95" s="475" t="str">
        <f>IF($I$10="nein",DB_ÖLN!A55,DB_Bio!A55)</f>
        <v>Tafeläpfel</v>
      </c>
      <c r="B95" s="476"/>
      <c r="C95" s="493" t="str">
        <f>IF($I$10="nein",DB_ÖLN!B55,DB_Bio!B55)</f>
        <v>ÖLN, mit Hagelschutz</v>
      </c>
      <c r="D95" s="493"/>
      <c r="E95" s="493"/>
      <c r="F95" s="494"/>
      <c r="G95" s="164"/>
      <c r="H95" s="239">
        <f>IF($I$10="nein",DB_ÖLN!D55,DB_Bio!D55)</f>
        <v>22403</v>
      </c>
      <c r="I95" s="239">
        <f t="shared" si="3"/>
        <v>0</v>
      </c>
    </row>
    <row r="96" spans="1:9" s="127" customFormat="1" ht="11.25" customHeight="1" x14ac:dyDescent="0.2">
      <c r="A96" s="475" t="str">
        <f>IF($I$10="nein",DB_ÖLN!A56,DB_Bio!A56)</f>
        <v>Tafelbirnen</v>
      </c>
      <c r="B96" s="476"/>
      <c r="C96" s="493" t="str">
        <f>IF($I$10="nein",DB_ÖLN!B56,DB_Bio!B56)</f>
        <v>ÖLN, ohne Hagelschutz</v>
      </c>
      <c r="D96" s="493"/>
      <c r="E96" s="493"/>
      <c r="F96" s="494"/>
      <c r="G96" s="164"/>
      <c r="H96" s="239">
        <f>IF($I$10="nein",DB_ÖLN!D56,DB_Bio!D56)</f>
        <v>24154</v>
      </c>
      <c r="I96" s="239">
        <f t="shared" si="3"/>
        <v>0</v>
      </c>
    </row>
    <row r="97" spans="1:9" s="127" customFormat="1" ht="11.25" customHeight="1" x14ac:dyDescent="0.2">
      <c r="A97" s="475" t="str">
        <f>IF($I$10="nein",DB_ÖLN!A57,DB_Bio!A57)</f>
        <v>Tafelkirschen</v>
      </c>
      <c r="B97" s="476"/>
      <c r="C97" s="493" t="str">
        <f>IF($I$10="nein",DB_ÖLN!B57,DB_Bio!B57)</f>
        <v>ÖLN, Niederstamm, gedeckt</v>
      </c>
      <c r="D97" s="493"/>
      <c r="E97" s="493"/>
      <c r="F97" s="494"/>
      <c r="G97" s="164"/>
      <c r="H97" s="239">
        <f>IF($I$10="nein",DB_ÖLN!D57,DB_Bio!D57)</f>
        <v>52739.333333333336</v>
      </c>
      <c r="I97" s="239">
        <f t="shared" si="3"/>
        <v>0</v>
      </c>
    </row>
    <row r="98" spans="1:9" s="127" customFormat="1" ht="11.25" customHeight="1" x14ac:dyDescent="0.2">
      <c r="A98" s="475" t="str">
        <f>IF($I$10="nein",DB_ÖLN!A58,DB_Bio!A58)</f>
        <v>Reben</v>
      </c>
      <c r="B98" s="476"/>
      <c r="C98" s="493" t="str">
        <f>IF($I$10="nein",DB_ÖLN!B58,DB_Bio!B58)</f>
        <v>ÖLN, Durchschnitt</v>
      </c>
      <c r="D98" s="493"/>
      <c r="E98" s="493"/>
      <c r="F98" s="494"/>
      <c r="G98" s="164"/>
      <c r="H98" s="239">
        <f>IF($I$10="nein",DB_ÖLN!D58,DB_Bio!D58)</f>
        <v>22052</v>
      </c>
      <c r="I98" s="239">
        <f t="shared" ref="I98:I100" si="4">G98*H98</f>
        <v>0</v>
      </c>
    </row>
    <row r="99" spans="1:9" s="106" customFormat="1" ht="3" customHeight="1" x14ac:dyDescent="0.2">
      <c r="A99" s="450"/>
      <c r="B99" s="449"/>
      <c r="C99" s="520"/>
      <c r="D99" s="520"/>
      <c r="E99" s="520"/>
      <c r="F99" s="485"/>
      <c r="G99" s="165"/>
      <c r="H99" s="107"/>
      <c r="I99" s="107"/>
    </row>
    <row r="100" spans="1:9" s="127" customFormat="1" ht="11.25" customHeight="1" x14ac:dyDescent="0.2">
      <c r="A100" s="475" t="str">
        <f>IF($I$10="nein",DB_ÖLN!A60,DB_Bio!A60)</f>
        <v>Erdbeeren</v>
      </c>
      <c r="B100" s="476"/>
      <c r="C100" s="493" t="str">
        <f>IF($I$10="nein",DB_ÖLN!B60,DB_Bio!B60)</f>
        <v>ÖLN, Flachkultur</v>
      </c>
      <c r="D100" s="493"/>
      <c r="E100" s="493"/>
      <c r="F100" s="494"/>
      <c r="G100" s="164"/>
      <c r="H100" s="239">
        <f>IF($I$10="nein",DB_ÖLN!D60,DB_Bio!D60)</f>
        <v>57464.666666666664</v>
      </c>
      <c r="I100" s="239">
        <f t="shared" si="4"/>
        <v>0</v>
      </c>
    </row>
    <row r="101" spans="1:9" s="127" customFormat="1" ht="3" customHeight="1" x14ac:dyDescent="0.2">
      <c r="A101" s="242"/>
      <c r="B101" s="245"/>
      <c r="C101" s="136"/>
      <c r="D101" s="136"/>
      <c r="E101" s="136"/>
      <c r="G101" s="167"/>
      <c r="H101" s="137"/>
      <c r="I101" s="137"/>
    </row>
    <row r="102" spans="1:9" s="127" customFormat="1" ht="11.25" customHeight="1" x14ac:dyDescent="0.2">
      <c r="A102" s="510" t="str">
        <f>IF($I$10="nein",DB_ÖLN!A62,DB_Bio!A62)</f>
        <v>Freilandgemüse</v>
      </c>
      <c r="B102" s="521"/>
      <c r="C102" s="532" t="str">
        <f>IF($I$10="nein",DB_ÖLN!B62,DB_Bio!B62)</f>
        <v>Durchschnittswert</v>
      </c>
      <c r="D102" s="520"/>
      <c r="E102" s="520"/>
      <c r="F102" s="533"/>
      <c r="G102" s="164"/>
      <c r="H102" s="419">
        <f>IF($I$10="nein",DB_ÖLN!D62,DB_Bio!D62)</f>
        <v>17907</v>
      </c>
      <c r="I102" s="244">
        <f>G102*H102</f>
        <v>0</v>
      </c>
    </row>
    <row r="103" spans="1:9" s="127" customFormat="1" ht="3" customHeight="1" x14ac:dyDescent="0.2">
      <c r="A103" s="142"/>
      <c r="B103" s="254"/>
      <c r="C103" s="143"/>
      <c r="D103" s="143"/>
      <c r="E103" s="143"/>
      <c r="F103" s="418"/>
      <c r="G103" s="167"/>
      <c r="H103" s="145"/>
      <c r="I103" s="137"/>
    </row>
    <row r="104" spans="1:9" s="127" customFormat="1" ht="11.25" customHeight="1" x14ac:dyDescent="0.2">
      <c r="A104" s="434"/>
      <c r="B104" s="435"/>
      <c r="C104" s="440"/>
      <c r="D104" s="440"/>
      <c r="E104" s="440"/>
      <c r="F104" s="441"/>
      <c r="G104" s="164"/>
      <c r="H104" s="177"/>
      <c r="I104" s="244"/>
    </row>
    <row r="105" spans="1:9" s="127" customFormat="1" ht="11.25" customHeight="1" x14ac:dyDescent="0.2">
      <c r="A105" s="434"/>
      <c r="B105" s="435"/>
      <c r="C105" s="440"/>
      <c r="D105" s="440"/>
      <c r="E105" s="440"/>
      <c r="F105" s="441"/>
      <c r="G105" s="164"/>
      <c r="H105" s="177"/>
      <c r="I105" s="244">
        <f>G105*H105</f>
        <v>0</v>
      </c>
    </row>
    <row r="106" spans="1:9" s="254" customFormat="1" ht="10.5" customHeight="1" x14ac:dyDescent="0.2">
      <c r="A106" s="142"/>
      <c r="B106" s="142"/>
      <c r="C106" s="143"/>
      <c r="D106" s="143"/>
      <c r="E106" s="272"/>
      <c r="G106" s="166"/>
      <c r="H106" s="276"/>
      <c r="I106" s="175"/>
    </row>
    <row r="107" spans="1:9" ht="34.5" customHeight="1" x14ac:dyDescent="0.2">
      <c r="A107" s="95" t="s">
        <v>3</v>
      </c>
      <c r="E107" s="446" t="s">
        <v>12</v>
      </c>
      <c r="F107" s="446" t="s">
        <v>170</v>
      </c>
      <c r="G107" s="446" t="s">
        <v>172</v>
      </c>
      <c r="H107" s="446" t="s">
        <v>162</v>
      </c>
      <c r="I107" s="446" t="s">
        <v>171</v>
      </c>
    </row>
    <row r="108" spans="1:9" ht="11.25" customHeight="1" x14ac:dyDescent="0.2">
      <c r="A108" s="478" t="s">
        <v>160</v>
      </c>
      <c r="B108" s="479"/>
      <c r="C108" s="479"/>
      <c r="D108" s="480"/>
      <c r="E108" s="447"/>
      <c r="F108" s="447"/>
      <c r="G108" s="447"/>
      <c r="H108" s="447"/>
      <c r="I108" s="447"/>
    </row>
    <row r="109" spans="1:9" ht="11.25" customHeight="1" x14ac:dyDescent="0.2">
      <c r="A109" s="436" t="str">
        <f>IF($I$10="nein",DB_ÖLN!A67,DB_Bio!A67)</f>
        <v xml:space="preserve">Milchkuh </v>
      </c>
      <c r="B109" s="437"/>
      <c r="C109" s="438" t="str">
        <f>IF($I$10="nein",DB_ÖLN!B67,DB_Bio!B67)</f>
        <v>7'000 kg Silozone</v>
      </c>
      <c r="D109" s="439"/>
      <c r="E109" s="160"/>
      <c r="F109" s="149">
        <f>IF($I$10="nein",DB_ÖLN!C67,DB_Bio!C67)</f>
        <v>69.400000000000006</v>
      </c>
      <c r="G109" s="99">
        <f>E109*F109</f>
        <v>0</v>
      </c>
      <c r="H109" s="99">
        <f>IF($I$10="nein",DB_ÖLN!D67,DB_Bio!D67)</f>
        <v>4017.3333333333335</v>
      </c>
      <c r="I109" s="99">
        <f>E109*H109</f>
        <v>0</v>
      </c>
    </row>
    <row r="110" spans="1:9" ht="11.25" customHeight="1" x14ac:dyDescent="0.2">
      <c r="A110" s="436" t="str">
        <f>IF($I$10="nein",DB_ÖLN!A68,DB_Bio!A68)</f>
        <v xml:space="preserve">Milchkuh </v>
      </c>
      <c r="B110" s="437"/>
      <c r="C110" s="438" t="str">
        <f>IF($I$10="nein",DB_ÖLN!B68,DB_Bio!B68)</f>
        <v>&gt; 7'000 kg Silozone</v>
      </c>
      <c r="D110" s="439"/>
      <c r="E110" s="160"/>
      <c r="F110" s="149">
        <f>IF($I$10="nein",DB_ÖLN!C68,DB_Bio!C68)</f>
        <v>76.7</v>
      </c>
      <c r="G110" s="99">
        <f t="shared" ref="G110:G140" si="5">E110*F110</f>
        <v>0</v>
      </c>
      <c r="H110" s="99">
        <f>IF($I$10="nein",DB_ÖLN!D68,DB_Bio!D68)</f>
        <v>4462.333333333333</v>
      </c>
      <c r="I110" s="99">
        <f t="shared" ref="I110:I140" si="6">E110*H110</f>
        <v>0</v>
      </c>
    </row>
    <row r="111" spans="1:9" ht="11.25" customHeight="1" x14ac:dyDescent="0.2">
      <c r="A111" s="436" t="str">
        <f>IF($I$10="nein",DB_ÖLN!A69,DB_Bio!A69)</f>
        <v xml:space="preserve">Milchkuh </v>
      </c>
      <c r="B111" s="437"/>
      <c r="C111" s="438" t="str">
        <f>IF($I$10="nein",DB_ÖLN!B69,DB_Bio!B69)</f>
        <v>6'000 kg verkäste Milch</v>
      </c>
      <c r="D111" s="439"/>
      <c r="E111" s="160"/>
      <c r="F111" s="149">
        <f>IF($I$10="nein",DB_ÖLN!C69,DB_Bio!C69)</f>
        <v>62.1</v>
      </c>
      <c r="G111" s="99">
        <f t="shared" si="5"/>
        <v>0</v>
      </c>
      <c r="H111" s="99">
        <f>IF($I$10="nein",DB_ÖLN!D69,DB_Bio!D69)</f>
        <v>4103</v>
      </c>
      <c r="I111" s="99">
        <f t="shared" si="6"/>
        <v>0</v>
      </c>
    </row>
    <row r="112" spans="1:9" ht="11.25" customHeight="1" x14ac:dyDescent="0.2">
      <c r="A112" s="436" t="str">
        <f>IF($I$10="nein",DB_ÖLN!A70,DB_Bio!A70)</f>
        <v xml:space="preserve">Milchkuh </v>
      </c>
      <c r="B112" s="437"/>
      <c r="C112" s="438" t="str">
        <f>IF($I$10="nein",DB_ÖLN!B70,DB_Bio!B70)</f>
        <v>8'000 kg verkäste Milch</v>
      </c>
      <c r="D112" s="439"/>
      <c r="E112" s="160"/>
      <c r="F112" s="149">
        <f>IF($I$10="nein",DB_ÖLN!C70,DB_Bio!C70)</f>
        <v>76.7</v>
      </c>
      <c r="G112" s="99">
        <f t="shared" si="5"/>
        <v>0</v>
      </c>
      <c r="H112" s="99">
        <f>IF($I$10="nein",DB_ÖLN!D70,DB_Bio!D70)</f>
        <v>5060</v>
      </c>
      <c r="I112" s="99">
        <f t="shared" si="6"/>
        <v>0</v>
      </c>
    </row>
    <row r="113" spans="1:9" s="131" customFormat="1" ht="3" customHeight="1" x14ac:dyDescent="0.2">
      <c r="A113" s="495"/>
      <c r="B113" s="496"/>
      <c r="C113" s="448"/>
      <c r="D113" s="449"/>
      <c r="E113" s="173"/>
      <c r="F113" s="110"/>
      <c r="G113" s="102"/>
      <c r="H113" s="102"/>
      <c r="I113" s="102"/>
    </row>
    <row r="114" spans="1:9" ht="11.25" customHeight="1" x14ac:dyDescent="0.2">
      <c r="A114" s="436" t="str">
        <f>IF($I$10="nein",DB_ÖLN!A72,DB_Bio!A72)</f>
        <v>Mutterkuh (ohne Kälber)</v>
      </c>
      <c r="B114" s="437"/>
      <c r="C114" s="438" t="str">
        <f>IF($I$10="nein",DB_ÖLN!B72,DB_Bio!B72)</f>
        <v>Natura-Beef</v>
      </c>
      <c r="D114" s="439"/>
      <c r="E114" s="160"/>
      <c r="F114" s="149">
        <f>IF($I$10="nein",DB_ÖLN!C72,DB_Bio!C72)</f>
        <v>46.1</v>
      </c>
      <c r="G114" s="99">
        <f t="shared" si="5"/>
        <v>0</v>
      </c>
      <c r="H114" s="99">
        <f>IF($I$10="nein",DB_ÖLN!D72,DB_Bio!D72)</f>
        <v>2640.6666666666665</v>
      </c>
      <c r="I114" s="99">
        <f t="shared" si="6"/>
        <v>0</v>
      </c>
    </row>
    <row r="115" spans="1:9" ht="11.25" customHeight="1" x14ac:dyDescent="0.2">
      <c r="A115" s="436" t="str">
        <f>IF($I$10="nein",DB_ÖLN!A73,DB_Bio!A73)</f>
        <v>Kälber von Mutterkühen</v>
      </c>
      <c r="B115" s="437"/>
      <c r="C115" s="438" t="str">
        <f>IF($I$10="nein",DB_ÖLN!B73,DB_Bio!B73)</f>
        <v>unter 1-jährig</v>
      </c>
      <c r="D115" s="439"/>
      <c r="E115" s="160"/>
      <c r="F115" s="149">
        <f>IF($I$10="nein",DB_ÖLN!C73,DB_Bio!C73)</f>
        <v>9.1</v>
      </c>
      <c r="G115" s="99">
        <f t="shared" si="5"/>
        <v>0</v>
      </c>
      <c r="H115" s="99">
        <f>IF($I$10="nein",DB_ÖLN!D73,DB_Bio!D73)</f>
        <v>0</v>
      </c>
      <c r="I115" s="99">
        <f t="shared" si="6"/>
        <v>0</v>
      </c>
    </row>
    <row r="116" spans="1:9" s="123" customFormat="1" ht="3" customHeight="1" x14ac:dyDescent="0.2">
      <c r="A116" s="495"/>
      <c r="B116" s="496"/>
      <c r="C116" s="438"/>
      <c r="D116" s="439"/>
      <c r="E116" s="173"/>
      <c r="F116" s="110"/>
      <c r="G116" s="102"/>
      <c r="H116" s="102"/>
      <c r="I116" s="102"/>
    </row>
    <row r="117" spans="1:9" ht="11.25" customHeight="1" x14ac:dyDescent="0.2">
      <c r="A117" s="436" t="str">
        <f>IF($I$10="nein",DB_ÖLN!A75,DB_Bio!A75)</f>
        <v>Jungvieh &gt; 730 Tage</v>
      </c>
      <c r="B117" s="437"/>
      <c r="C117" s="438" t="str">
        <f>IF($I$10="nein",DB_ÖLN!B75,DB_Bio!B75)</f>
        <v>eigene Aufzucht, &gt; 2 J., trächtig</v>
      </c>
      <c r="D117" s="439"/>
      <c r="E117" s="160"/>
      <c r="F117" s="149">
        <f>IF($I$10="nein",DB_ÖLN!C75,DB_Bio!C75)</f>
        <v>40.200000000000003</v>
      </c>
      <c r="G117" s="99">
        <f t="shared" si="5"/>
        <v>0</v>
      </c>
      <c r="H117" s="99">
        <f>IF($I$10="nein",DB_ÖLN!D75,DB_Bio!D75)</f>
        <v>1444</v>
      </c>
      <c r="I117" s="99">
        <f t="shared" si="6"/>
        <v>0</v>
      </c>
    </row>
    <row r="118" spans="1:9" ht="11.25" customHeight="1" x14ac:dyDescent="0.2">
      <c r="A118" s="436" t="str">
        <f>IF($I$10="nein",DB_ÖLN!A76,DB_Bio!A76)</f>
        <v>Jungvieh 365 - 730 Tage</v>
      </c>
      <c r="B118" s="437"/>
      <c r="C118" s="438"/>
      <c r="D118" s="439"/>
      <c r="E118" s="160"/>
      <c r="F118" s="149">
        <f>IF($I$10="nein",DB_ÖLN!C76,DB_Bio!C76)</f>
        <v>25.6</v>
      </c>
      <c r="G118" s="99">
        <f t="shared" si="5"/>
        <v>0</v>
      </c>
      <c r="H118" s="99">
        <f>IF($I$10="nein",DB_ÖLN!D76,DB_Bio!D76)</f>
        <v>0</v>
      </c>
      <c r="I118" s="99">
        <f t="shared" si="6"/>
        <v>0</v>
      </c>
    </row>
    <row r="119" spans="1:9" ht="11.25" customHeight="1" x14ac:dyDescent="0.2">
      <c r="A119" s="436" t="str">
        <f>IF($I$10="nein",DB_ÖLN!A77,DB_Bio!A77)</f>
        <v>Jungvieh 160 - 365 Tage</v>
      </c>
      <c r="B119" s="437"/>
      <c r="C119" s="438"/>
      <c r="D119" s="439"/>
      <c r="E119" s="160"/>
      <c r="F119" s="149">
        <f>IF($I$10="nein",DB_ÖLN!C77,DB_Bio!C77)</f>
        <v>16.399999999999999</v>
      </c>
      <c r="G119" s="99">
        <f t="shared" si="5"/>
        <v>0</v>
      </c>
      <c r="H119" s="99">
        <f>IF($I$10="nein",DB_ÖLN!D77,DB_Bio!D77)</f>
        <v>0</v>
      </c>
      <c r="I119" s="99">
        <f t="shared" si="6"/>
        <v>0</v>
      </c>
    </row>
    <row r="120" spans="1:9" ht="11.25" customHeight="1" x14ac:dyDescent="0.2">
      <c r="A120" s="436" t="str">
        <f>IF($I$10="nein",DB_ÖLN!A78,DB_Bio!A78)</f>
        <v>Aufzucht unter 160 Tage</v>
      </c>
      <c r="B120" s="437"/>
      <c r="C120" s="438"/>
      <c r="D120" s="439"/>
      <c r="E120" s="160"/>
      <c r="F120" s="149">
        <f>IF($I$10="nein",DB_ÖLN!C78,DB_Bio!C78)</f>
        <v>9.1</v>
      </c>
      <c r="G120" s="99">
        <f t="shared" si="5"/>
        <v>0</v>
      </c>
      <c r="H120" s="99">
        <f>IF($I$10="nein",DB_ÖLN!D78,DB_Bio!D78)</f>
        <v>0</v>
      </c>
      <c r="I120" s="99">
        <f t="shared" si="6"/>
        <v>0</v>
      </c>
    </row>
    <row r="121" spans="1:9" s="106" customFormat="1" ht="3" customHeight="1" x14ac:dyDescent="0.2">
      <c r="A121" s="495"/>
      <c r="B121" s="496"/>
      <c r="C121" s="448"/>
      <c r="D121" s="449"/>
      <c r="E121" s="173"/>
      <c r="F121" s="110"/>
      <c r="G121" s="102"/>
      <c r="H121" s="102"/>
      <c r="I121" s="102"/>
    </row>
    <row r="122" spans="1:9" ht="11.25" customHeight="1" x14ac:dyDescent="0.2">
      <c r="A122" s="436" t="str">
        <f>IF($I$10="nein",DB_ÖLN!A80,DB_Bio!A80)</f>
        <v>Aufzuchtvertrag</v>
      </c>
      <c r="B122" s="437"/>
      <c r="C122" s="438" t="str">
        <f>IF($I$10="nein",DB_ÖLN!B80,DB_Bio!B80)</f>
        <v>Erstkalbealter 24 Monate, pro Platz und Jahr</v>
      </c>
      <c r="D122" s="439"/>
      <c r="E122" s="160"/>
      <c r="F122" s="149">
        <f>IF($I$10="nein",DB_ÖLN!C80,DB_Bio!C80)</f>
        <v>25.6</v>
      </c>
      <c r="G122" s="99">
        <f t="shared" si="5"/>
        <v>0</v>
      </c>
      <c r="H122" s="99">
        <f>IF($I$10="nein",DB_ÖLN!D80,DB_Bio!D80)</f>
        <v>1312.5757575757577</v>
      </c>
      <c r="I122" s="99">
        <f t="shared" si="6"/>
        <v>0</v>
      </c>
    </row>
    <row r="123" spans="1:9" s="106" customFormat="1" ht="3" customHeight="1" x14ac:dyDescent="0.2">
      <c r="A123" s="399"/>
      <c r="B123" s="400"/>
      <c r="C123" s="448"/>
      <c r="D123" s="477"/>
      <c r="E123" s="173"/>
      <c r="F123" s="110"/>
      <c r="G123" s="102"/>
      <c r="H123" s="102"/>
      <c r="I123" s="102"/>
    </row>
    <row r="124" spans="1:9" ht="11.25" customHeight="1" x14ac:dyDescent="0.2">
      <c r="A124" s="436" t="str">
        <f>IF($I$10="nein",DB_ÖLN!A82,DB_Bio!A82)</f>
        <v xml:space="preserve">Grossviehmast </v>
      </c>
      <c r="B124" s="437"/>
      <c r="C124" s="438" t="str">
        <f>IF($I$10="nein",DB_ÖLN!B82,DB_Bio!B82)</f>
        <v>Muni, je Platz + Jahr</v>
      </c>
      <c r="D124" s="439"/>
      <c r="E124" s="160"/>
      <c r="F124" s="149">
        <f>IF($I$10="nein",DB_ÖLN!C82,DB_Bio!C82)</f>
        <v>20.100000000000001</v>
      </c>
      <c r="G124" s="99">
        <f t="shared" si="5"/>
        <v>0</v>
      </c>
      <c r="H124" s="99">
        <f>IF($I$10="nein",DB_ÖLN!D82,DB_Bio!D82)</f>
        <v>1294</v>
      </c>
      <c r="I124" s="99">
        <f t="shared" si="6"/>
        <v>0</v>
      </c>
    </row>
    <row r="125" spans="1:9" ht="11.25" customHeight="1" x14ac:dyDescent="0.2">
      <c r="A125" s="436" t="str">
        <f>IF($I$10="nein",DB_ÖLN!A83,DB_Bio!A83)</f>
        <v xml:space="preserve">Grossviehmast </v>
      </c>
      <c r="B125" s="437"/>
      <c r="C125" s="438" t="str">
        <f>IF($I$10="nein",DB_ÖLN!B83,DB_Bio!B83)</f>
        <v>Rinder / Ochsen</v>
      </c>
      <c r="D125" s="439"/>
      <c r="E125" s="160">
        <v>0</v>
      </c>
      <c r="F125" s="149">
        <f>IF($I$10="nein",DB_ÖLN!C83,DB_Bio!C83)</f>
        <v>20.100000000000001</v>
      </c>
      <c r="G125" s="99">
        <f t="shared" si="5"/>
        <v>0</v>
      </c>
      <c r="H125" s="99">
        <f>IF($I$10="nein",DB_ÖLN!D83,DB_Bio!D83)</f>
        <v>976.66666666666663</v>
      </c>
      <c r="I125" s="99">
        <f t="shared" si="6"/>
        <v>0</v>
      </c>
    </row>
    <row r="126" spans="1:9" ht="11.25" customHeight="1" x14ac:dyDescent="0.2">
      <c r="A126" s="436" t="str">
        <f>IF($I$10="nein",DB_ÖLN!A84,DB_Bio!A84)</f>
        <v>Kälber zu Grossviehmast</v>
      </c>
      <c r="B126" s="437"/>
      <c r="C126" s="438" t="str">
        <f>IF($I$10="nein",DB_ÖLN!B84,DB_Bio!B84)</f>
        <v>&lt; 160 Tage</v>
      </c>
      <c r="D126" s="439"/>
      <c r="E126" s="160"/>
      <c r="F126" s="149">
        <f>IF($I$10="nein",DB_ÖLN!C84,DB_Bio!C84)</f>
        <v>9.1</v>
      </c>
      <c r="G126" s="99">
        <f t="shared" si="5"/>
        <v>0</v>
      </c>
      <c r="H126" s="99">
        <f>IF($I$10="nein",DB_ÖLN!D84,DB_Bio!D84)</f>
        <v>0</v>
      </c>
      <c r="I126" s="99">
        <f t="shared" si="6"/>
        <v>0</v>
      </c>
    </row>
    <row r="127" spans="1:9" ht="3" customHeight="1" x14ac:dyDescent="0.2">
      <c r="A127" s="495"/>
      <c r="B127" s="496"/>
      <c r="C127" s="438"/>
      <c r="D127" s="439"/>
      <c r="E127" s="173"/>
      <c r="F127" s="110"/>
      <c r="G127" s="102"/>
      <c r="H127" s="102"/>
      <c r="I127" s="102"/>
    </row>
    <row r="128" spans="1:9" ht="11.25" customHeight="1" x14ac:dyDescent="0.2">
      <c r="A128" s="436" t="str">
        <f>IF($I$10="nein",DB_ÖLN!A86,DB_Bio!A86)</f>
        <v>Kälbermast</v>
      </c>
      <c r="B128" s="437"/>
      <c r="C128" s="438" t="str">
        <f>IF($I$10="nein",DB_ÖLN!B86,DB_Bio!B86)</f>
        <v>Vollmilchmast, je Platz und Jahr</v>
      </c>
      <c r="D128" s="439"/>
      <c r="E128" s="160"/>
      <c r="F128" s="178" t="s">
        <v>188</v>
      </c>
      <c r="G128" s="162" t="s">
        <v>188</v>
      </c>
      <c r="H128" s="99">
        <f>IF($I$10="nein",DB_ÖLN!D86,DB_Bio!D86)</f>
        <v>177.33333333333334</v>
      </c>
      <c r="I128" s="99">
        <f t="shared" si="6"/>
        <v>0</v>
      </c>
    </row>
    <row r="129" spans="1:9" ht="11.25" customHeight="1" x14ac:dyDescent="0.2">
      <c r="A129" s="436" t="str">
        <f>IF($I$10="nein",DB_ÖLN!A87,DB_Bio!A87)</f>
        <v xml:space="preserve">Kälbermast </v>
      </c>
      <c r="B129" s="437"/>
      <c r="C129" s="438" t="str">
        <f>IF($I$10="nein",DB_ÖLN!B87,DB_Bio!B87)</f>
        <v>Kombi-Mast, je Platz und Jahr</v>
      </c>
      <c r="D129" s="439"/>
      <c r="E129" s="160"/>
      <c r="F129" s="149">
        <f>IF($I$10="nein",DB_ÖLN!C87,DB_Bio!C87)</f>
        <v>6</v>
      </c>
      <c r="G129" s="99">
        <f t="shared" si="5"/>
        <v>0</v>
      </c>
      <c r="H129" s="99">
        <f>IF($I$10="nein",DB_ÖLN!D87,DB_Bio!D87)</f>
        <v>120.33333333333333</v>
      </c>
      <c r="I129" s="99">
        <f t="shared" si="6"/>
        <v>0</v>
      </c>
    </row>
    <row r="130" spans="1:9" s="131" customFormat="1" ht="3" customHeight="1" x14ac:dyDescent="0.2">
      <c r="A130" s="495">
        <f>IF($I$10="nein",DB_ÖLN!A88,DB_Bio!A88)</f>
        <v>0</v>
      </c>
      <c r="B130" s="496"/>
      <c r="C130" s="448">
        <f>IF($I$10="nein",DB_ÖLN!B88,DB_Bio!B88)</f>
        <v>0</v>
      </c>
      <c r="D130" s="449"/>
      <c r="E130" s="173"/>
      <c r="F130" s="110">
        <f>IF($I$10="nein",DB_ÖLN!C88,DB_Bio!C88)</f>
        <v>0</v>
      </c>
      <c r="G130" s="102">
        <f t="shared" si="5"/>
        <v>0</v>
      </c>
      <c r="H130" s="102">
        <f>IF($I$10="nein",DB_ÖLN!D88,DB_Bio!D88)</f>
        <v>0</v>
      </c>
      <c r="I130" s="102">
        <f t="shared" si="6"/>
        <v>0</v>
      </c>
    </row>
    <row r="131" spans="1:9" ht="11.25" customHeight="1" x14ac:dyDescent="0.2">
      <c r="A131" s="436" t="str">
        <f>IF($I$10="nein",DB_ÖLN!A89,DB_Bio!A89)</f>
        <v>Schafe</v>
      </c>
      <c r="B131" s="437"/>
      <c r="C131" s="438" t="str">
        <f>IF($I$10="nein",DB_ÖLN!B89,DB_Bio!B89)</f>
        <v>gemolken</v>
      </c>
      <c r="D131" s="439"/>
      <c r="E131" s="160"/>
      <c r="F131" s="149">
        <f>IF($I$10="nein",DB_ÖLN!C89,DB_Bio!C89)</f>
        <v>9.1</v>
      </c>
      <c r="G131" s="99">
        <f t="shared" si="5"/>
        <v>0</v>
      </c>
      <c r="H131" s="99">
        <f>IF($I$10="nein",DB_ÖLN!D89,DB_Bio!D89)</f>
        <v>1110</v>
      </c>
      <c r="I131" s="99">
        <f t="shared" si="6"/>
        <v>0</v>
      </c>
    </row>
    <row r="132" spans="1:9" ht="11.25" customHeight="1" x14ac:dyDescent="0.2">
      <c r="A132" s="436" t="str">
        <f>IF($I$10="nein",DB_ÖLN!A90,DB_Bio!A90)</f>
        <v>Schafe</v>
      </c>
      <c r="B132" s="437"/>
      <c r="C132" s="438" t="str">
        <f>IF($I$10="nein",DB_ÖLN!B90,DB_Bio!B90)</f>
        <v>Fleischschafe</v>
      </c>
      <c r="D132" s="439"/>
      <c r="E132" s="160"/>
      <c r="F132" s="149">
        <f>IF($I$10="nein",DB_ÖLN!C90,DB_Bio!C90)</f>
        <v>6.6</v>
      </c>
      <c r="G132" s="99">
        <f t="shared" si="5"/>
        <v>0</v>
      </c>
      <c r="H132" s="99">
        <f>IF($I$10="nein",DB_ÖLN!D90,DB_Bio!D90)</f>
        <v>327.66666666666669</v>
      </c>
      <c r="I132" s="99">
        <f t="shared" si="6"/>
        <v>0</v>
      </c>
    </row>
    <row r="133" spans="1:9" ht="11.25" customHeight="1" x14ac:dyDescent="0.2">
      <c r="A133" s="436" t="str">
        <f>IF($I$10="nein",DB_ÖLN!A91,DB_Bio!A91)</f>
        <v>Widder</v>
      </c>
      <c r="B133" s="437"/>
      <c r="C133" s="438" t="str">
        <f>IF($I$10="nein",DB_ÖLN!B91,DB_Bio!B91)</f>
        <v>über 1-jährig</v>
      </c>
      <c r="D133" s="439"/>
      <c r="E133" s="160"/>
      <c r="F133" s="149">
        <f>IF($I$10="nein",DB_ÖLN!C91,DB_Bio!C91)</f>
        <v>5.8</v>
      </c>
      <c r="G133" s="99">
        <f t="shared" si="5"/>
        <v>0</v>
      </c>
      <c r="H133" s="99">
        <f>IF($I$10="nein",DB_ÖLN!D91,DB_Bio!D91)</f>
        <v>327.66666666666669</v>
      </c>
      <c r="I133" s="99">
        <f t="shared" si="6"/>
        <v>0</v>
      </c>
    </row>
    <row r="134" spans="1:9" ht="11.25" customHeight="1" x14ac:dyDescent="0.2">
      <c r="A134" s="436" t="str">
        <f>IF($I$10="nein",DB_ÖLN!A92,DB_Bio!A92)</f>
        <v xml:space="preserve">Jungschafe </v>
      </c>
      <c r="B134" s="437"/>
      <c r="C134" s="438" t="str">
        <f>IF($I$10="nein",DB_ÖLN!B92,DB_Bio!B92)</f>
        <v>unter 1-jährig (weiblich und männlich)</v>
      </c>
      <c r="D134" s="439"/>
      <c r="E134" s="160"/>
      <c r="F134" s="149">
        <f>IF($I$10="nein",DB_ÖLN!C92,DB_Bio!C92)</f>
        <v>4.4000000000000004</v>
      </c>
      <c r="G134" s="99">
        <f t="shared" si="5"/>
        <v>0</v>
      </c>
      <c r="H134" s="99">
        <f>IF($I$10="nein",DB_ÖLN!D92,DB_Bio!D92)</f>
        <v>0</v>
      </c>
      <c r="I134" s="99">
        <f t="shared" si="6"/>
        <v>0</v>
      </c>
    </row>
    <row r="135" spans="1:9" s="131" customFormat="1" ht="3" customHeight="1" x14ac:dyDescent="0.2">
      <c r="A135" s="495">
        <f>IF($I$10="nein",DB_ÖLN!A93,DB_Bio!A93)</f>
        <v>0</v>
      </c>
      <c r="B135" s="496"/>
      <c r="C135" s="448">
        <f>IF($I$10="nein",DB_ÖLN!B93,DB_Bio!B93)</f>
        <v>0</v>
      </c>
      <c r="D135" s="449"/>
      <c r="E135" s="173"/>
      <c r="F135" s="110">
        <f>IF($I$10="nein",DB_ÖLN!C93,DB_Bio!C93)</f>
        <v>0</v>
      </c>
      <c r="G135" s="102">
        <f t="shared" si="5"/>
        <v>0</v>
      </c>
      <c r="H135" s="102">
        <f>IF($I$10="nein",DB_ÖLN!D93,DB_Bio!D93)</f>
        <v>0</v>
      </c>
      <c r="I135" s="102">
        <f t="shared" si="6"/>
        <v>0</v>
      </c>
    </row>
    <row r="136" spans="1:9" ht="11.25" customHeight="1" x14ac:dyDescent="0.2">
      <c r="A136" s="436" t="str">
        <f>IF($I$10="nein",DB_ÖLN!A94,DB_Bio!A94)</f>
        <v xml:space="preserve">Ziegen </v>
      </c>
      <c r="B136" s="437"/>
      <c r="C136" s="438" t="str">
        <f>IF($I$10="nein",DB_ÖLN!B94,DB_Bio!B94)</f>
        <v>gemolken</v>
      </c>
      <c r="D136" s="439"/>
      <c r="E136" s="160"/>
      <c r="F136" s="149">
        <f>IF($I$10="nein",DB_ÖLN!C94,DB_Bio!C94)</f>
        <v>7.3</v>
      </c>
      <c r="G136" s="99">
        <f t="shared" si="5"/>
        <v>0</v>
      </c>
      <c r="H136" s="99">
        <f>IF($I$10="nein",DB_ÖLN!D94,DB_Bio!D94)</f>
        <v>858.66666666666663</v>
      </c>
      <c r="I136" s="99">
        <f t="shared" si="6"/>
        <v>0</v>
      </c>
    </row>
    <row r="137" spans="1:9" ht="11.25" customHeight="1" x14ac:dyDescent="0.2">
      <c r="A137" s="436" t="str">
        <f>IF($I$10="nein",DB_ÖLN!A95,DB_Bio!A95)</f>
        <v>Ziegen</v>
      </c>
      <c r="B137" s="437"/>
      <c r="C137" s="438" t="str">
        <f>IF($I$10="nein",DB_ÖLN!B95,DB_Bio!B95)</f>
        <v>andere, weibliche Ziegen über 1-jährig</v>
      </c>
      <c r="D137" s="439"/>
      <c r="E137" s="160"/>
      <c r="F137" s="149">
        <f>IF($I$10="nein",DB_ÖLN!C95,DB_Bio!C95)</f>
        <v>5.8</v>
      </c>
      <c r="G137" s="99">
        <f t="shared" si="5"/>
        <v>0</v>
      </c>
      <c r="H137" s="99">
        <f>IF($I$10="nein",DB_ÖLN!D95,DB_Bio!D95)</f>
        <v>0</v>
      </c>
      <c r="I137" s="99">
        <f t="shared" si="6"/>
        <v>0</v>
      </c>
    </row>
    <row r="138" spans="1:9" ht="11.25" customHeight="1" x14ac:dyDescent="0.2">
      <c r="A138" s="436" t="str">
        <f>IF($I$10="nein",DB_ÖLN!A96,DB_Bio!A96)</f>
        <v>Ziegenböcke</v>
      </c>
      <c r="B138" s="437"/>
      <c r="C138" s="438" t="str">
        <f>IF($I$10="nein",DB_ÖLN!B96,DB_Bio!B96)</f>
        <v>über 1-jährig</v>
      </c>
      <c r="D138" s="439"/>
      <c r="E138" s="160"/>
      <c r="F138" s="149">
        <f>IF($I$10="nein",DB_ÖLN!C96,DB_Bio!C96)</f>
        <v>5.8</v>
      </c>
      <c r="G138" s="99">
        <f t="shared" si="5"/>
        <v>0</v>
      </c>
      <c r="H138" s="99">
        <f>IF($I$10="nein",DB_ÖLN!D96,DB_Bio!D96)</f>
        <v>0</v>
      </c>
      <c r="I138" s="99">
        <f t="shared" si="6"/>
        <v>0</v>
      </c>
    </row>
    <row r="139" spans="1:9" ht="11.25" customHeight="1" x14ac:dyDescent="0.2">
      <c r="A139" s="436" t="str">
        <f>IF($I$10="nein",DB_ÖLN!A97,DB_Bio!A97)</f>
        <v>Jungziegen</v>
      </c>
      <c r="B139" s="437"/>
      <c r="C139" s="438" t="str">
        <f>IF($I$10="nein",DB_ÖLN!B97,DB_Bio!B97)</f>
        <v>unter 1-jährig (weiblich und männlich)</v>
      </c>
      <c r="D139" s="439"/>
      <c r="E139" s="160"/>
      <c r="F139" s="149">
        <f>IF($I$10="nein",DB_ÖLN!C97,DB_Bio!C97)</f>
        <v>3.7</v>
      </c>
      <c r="G139" s="99">
        <f t="shared" si="5"/>
        <v>0</v>
      </c>
      <c r="H139" s="99">
        <f>IF($I$10="nein",DB_ÖLN!D97,DB_Bio!D97)</f>
        <v>0</v>
      </c>
      <c r="I139" s="99">
        <f t="shared" si="6"/>
        <v>0</v>
      </c>
    </row>
    <row r="140" spans="1:9" s="131" customFormat="1" ht="3" customHeight="1" x14ac:dyDescent="0.2">
      <c r="A140" s="495">
        <f>IF($I$10="nein",DB_ÖLN!A98,DB_Bio!A98)</f>
        <v>0</v>
      </c>
      <c r="B140" s="496"/>
      <c r="C140" s="448">
        <f>IF($I$10="nein",DB_ÖLN!B98,DB_Bio!B98)</f>
        <v>0</v>
      </c>
      <c r="D140" s="449"/>
      <c r="E140" s="173"/>
      <c r="F140" s="110">
        <f>IF($I$10="nein",DB_ÖLN!C98,DB_Bio!C98)</f>
        <v>0</v>
      </c>
      <c r="G140" s="102">
        <f t="shared" si="5"/>
        <v>0</v>
      </c>
      <c r="H140" s="102">
        <f>IF($I$10="nein",DB_ÖLN!D98,DB_Bio!D98)</f>
        <v>0</v>
      </c>
      <c r="I140" s="102">
        <f t="shared" si="6"/>
        <v>0</v>
      </c>
    </row>
    <row r="141" spans="1:9" ht="11.25" customHeight="1" x14ac:dyDescent="0.2">
      <c r="A141" s="436" t="str">
        <f>IF($I$10="nein",DB_ÖLN!A107,DB_Bio!A107)</f>
        <v>Damhirsche</v>
      </c>
      <c r="B141" s="437"/>
      <c r="C141" s="438"/>
      <c r="D141" s="439"/>
      <c r="E141" s="160"/>
      <c r="F141" s="149">
        <f>IF($I$10="nein",DB_ÖLN!C107,DB_Bio!C107)</f>
        <v>5.3</v>
      </c>
      <c r="G141" s="99">
        <f>E141*F141</f>
        <v>0</v>
      </c>
      <c r="H141" s="99">
        <f>IF($I$10="nein",DB_ÖLN!D107,DB_Bio!D107)</f>
        <v>161.33333333333334</v>
      </c>
      <c r="I141" s="99">
        <f>E141*H141</f>
        <v>0</v>
      </c>
    </row>
    <row r="142" spans="1:9" ht="11.25" customHeight="1" x14ac:dyDescent="0.2">
      <c r="A142" s="436" t="str">
        <f>IF($I$10="nein",DB_ÖLN!A108,DB_Bio!A108)</f>
        <v>Rothirsche</v>
      </c>
      <c r="B142" s="437"/>
      <c r="C142" s="438"/>
      <c r="D142" s="439"/>
      <c r="E142" s="160"/>
      <c r="F142" s="149">
        <f>IF($I$10="nein",DB_ÖLN!C108,DB_Bio!C108)</f>
        <v>10.5</v>
      </c>
      <c r="G142" s="99">
        <f>E142*F142</f>
        <v>0</v>
      </c>
      <c r="H142" s="99">
        <f>IF($I$10="nein",DB_ÖLN!D108,DB_Bio!D108)</f>
        <v>216</v>
      </c>
      <c r="I142" s="99">
        <f>E142*H142</f>
        <v>0</v>
      </c>
    </row>
    <row r="143" spans="1:9" s="131" customFormat="1" ht="3" customHeight="1" x14ac:dyDescent="0.2">
      <c r="A143" s="497">
        <f>IF($I$10="nein",DB_ÖLN!A109,DB_Bio!A109)</f>
        <v>0</v>
      </c>
      <c r="B143" s="498"/>
      <c r="C143" s="265">
        <f>IF($I$10="nein",DB_ÖLN!B109,DB_Bio!B109)</f>
        <v>0</v>
      </c>
      <c r="D143" s="415"/>
      <c r="E143" s="275"/>
      <c r="F143" s="264">
        <f>IF($I$10="nein",DB_ÖLN!C109,DB_Bio!C109)</f>
        <v>0</v>
      </c>
      <c r="G143" s="102">
        <f>E143*F143</f>
        <v>0</v>
      </c>
      <c r="H143" s="111">
        <f>IF($I$10="nein",DB_ÖLN!D109,DB_Bio!D109)</f>
        <v>0</v>
      </c>
      <c r="I143" s="111">
        <f>E143*H143</f>
        <v>0</v>
      </c>
    </row>
    <row r="144" spans="1:9" ht="11.25" customHeight="1" x14ac:dyDescent="0.2">
      <c r="A144" s="434"/>
      <c r="B144" s="435"/>
      <c r="C144" s="442"/>
      <c r="D144" s="443"/>
      <c r="E144" s="160"/>
      <c r="F144" s="161"/>
      <c r="G144" s="162">
        <f>E144*F144</f>
        <v>0</v>
      </c>
      <c r="H144" s="160"/>
      <c r="I144" s="162">
        <f>E144*H144</f>
        <v>0</v>
      </c>
    </row>
    <row r="145" spans="1:9" ht="11.25" customHeight="1" x14ac:dyDescent="0.2">
      <c r="A145" s="434"/>
      <c r="B145" s="435"/>
      <c r="C145" s="442"/>
      <c r="D145" s="443"/>
      <c r="E145" s="160"/>
      <c r="F145" s="161"/>
      <c r="G145" s="162">
        <f>E145*F145</f>
        <v>0</v>
      </c>
      <c r="H145" s="160"/>
      <c r="I145" s="162">
        <f>E145*H145</f>
        <v>0</v>
      </c>
    </row>
    <row r="146" spans="1:9" ht="3" customHeight="1" x14ac:dyDescent="0.2">
      <c r="A146" s="142"/>
      <c r="B146" s="142"/>
      <c r="C146" s="143"/>
      <c r="D146" s="143"/>
      <c r="E146" s="143"/>
      <c r="F146" s="144"/>
      <c r="G146" s="152"/>
      <c r="H146" s="145"/>
    </row>
    <row r="147" spans="1:9" ht="11.25" customHeight="1" x14ac:dyDescent="0.2">
      <c r="A147" s="478" t="s">
        <v>159</v>
      </c>
      <c r="B147" s="499"/>
      <c r="C147" s="500"/>
      <c r="D147" s="500"/>
      <c r="E147" s="500"/>
      <c r="F147" s="500"/>
      <c r="G147" s="500"/>
      <c r="H147" s="500"/>
      <c r="I147" s="479"/>
    </row>
    <row r="148" spans="1:9" ht="11.25" customHeight="1" x14ac:dyDescent="0.2">
      <c r="A148" s="436" t="str">
        <f>IF($I$10="nein",DB_ÖLN!A111,DB_Bio!A111)</f>
        <v>Kälbermast</v>
      </c>
      <c r="B148" s="437"/>
      <c r="C148" s="438" t="str">
        <f>IF($I$10="nein",DB_ÖLN!B111,DB_Bio!B111)</f>
        <v>mit Nebenprodukten</v>
      </c>
      <c r="D148" s="439"/>
      <c r="E148" s="160">
        <v>0</v>
      </c>
      <c r="F148" s="150">
        <f>IF($I$10="nein",DB_ÖLN!C111,DB_Bio!C111)</f>
        <v>6</v>
      </c>
      <c r="G148" s="99">
        <f>E148*F148</f>
        <v>0</v>
      </c>
      <c r="H148" s="99">
        <f>IF($I$10="nein",DB_ÖLN!D111,DB_Bio!D111)</f>
        <v>507.66666666666669</v>
      </c>
      <c r="I148" s="99">
        <f>E148*H148</f>
        <v>0</v>
      </c>
    </row>
    <row r="149" spans="1:9" s="123" customFormat="1" ht="3" customHeight="1" x14ac:dyDescent="0.2">
      <c r="A149" s="308"/>
      <c r="B149" s="309"/>
      <c r="C149" s="109"/>
      <c r="D149" s="101"/>
      <c r="E149" s="110"/>
      <c r="F149" s="111"/>
      <c r="G149" s="111"/>
      <c r="H149" s="111"/>
    </row>
    <row r="150" spans="1:9" ht="11.25" customHeight="1" x14ac:dyDescent="0.2">
      <c r="A150" s="436" t="str">
        <f>IF($I$10="nein",DB_ÖLN!A113,DB_Bio!A113)</f>
        <v xml:space="preserve">Zuchtschweine </v>
      </c>
      <c r="B150" s="437"/>
      <c r="C150" s="438" t="str">
        <f>IF($I$10="nein",DB_ÖLN!B113,DB_Bio!B113)</f>
        <v>säugend, inkl. Ferkel</v>
      </c>
      <c r="D150" s="439"/>
      <c r="E150" s="160"/>
      <c r="F150" s="150">
        <f>IF($I$10="nein",DB_ÖLN!C113,DB_Bio!C113)</f>
        <v>20</v>
      </c>
      <c r="G150" s="99">
        <f t="shared" ref="G150:G155" si="7">E150*F150</f>
        <v>0</v>
      </c>
      <c r="H150" s="99">
        <f>IF($I$10="nein",DB_ÖLN!D113,DB_Bio!D113)</f>
        <v>1359.1</v>
      </c>
      <c r="I150" s="99">
        <f t="shared" ref="I150:I155" si="8">E150*H150</f>
        <v>0</v>
      </c>
    </row>
    <row r="151" spans="1:9" ht="11.25" customHeight="1" x14ac:dyDescent="0.2">
      <c r="A151" s="436" t="str">
        <f>IF($I$10="nein",DB_ÖLN!A114,DB_Bio!A114)</f>
        <v xml:space="preserve">Zuchtschweine </v>
      </c>
      <c r="B151" s="437"/>
      <c r="C151" s="438" t="str">
        <f>IF($I$10="nein",DB_ÖLN!B114,DB_Bio!B114)</f>
        <v>nicht säugend, über 6 Mt.</v>
      </c>
      <c r="D151" s="439"/>
      <c r="E151" s="160"/>
      <c r="F151" s="150">
        <f>IF($I$10="nein",DB_ÖLN!C114,DB_Bio!C114)</f>
        <v>8</v>
      </c>
      <c r="G151" s="99">
        <f t="shared" si="7"/>
        <v>0</v>
      </c>
      <c r="H151" s="99">
        <f>IF($I$10="nein",DB_ÖLN!D114,DB_Bio!D114)</f>
        <v>1359.1</v>
      </c>
      <c r="I151" s="99">
        <f t="shared" si="8"/>
        <v>0</v>
      </c>
    </row>
    <row r="152" spans="1:9" ht="11.25" customHeight="1" x14ac:dyDescent="0.2">
      <c r="A152" s="436" t="str">
        <f>IF($I$10="nein",DB_ÖLN!A115,DB_Bio!A115)</f>
        <v>Abferkel-, Aufzuchtbetrieb</v>
      </c>
      <c r="B152" s="437"/>
      <c r="C152" s="438" t="str">
        <f>IF($I$10="nein",DB_ÖLN!B115,DB_Bio!B115)</f>
        <v>AFP</v>
      </c>
      <c r="D152" s="439"/>
      <c r="E152" s="160"/>
      <c r="F152" s="150">
        <f>IF($I$10="nein",DB_ÖLN!C115,DB_Bio!C115)</f>
        <v>20</v>
      </c>
      <c r="G152" s="99">
        <f t="shared" si="7"/>
        <v>0</v>
      </c>
      <c r="H152" s="99">
        <f>IF($I$10="nein",DB_ÖLN!D115,DB_Bio!D115)</f>
        <v>2935.6560000000004</v>
      </c>
      <c r="I152" s="99">
        <f t="shared" si="8"/>
        <v>0</v>
      </c>
    </row>
    <row r="153" spans="1:9" ht="11.25" customHeight="1" x14ac:dyDescent="0.2">
      <c r="A153" s="436" t="str">
        <f>IF($I$10="nein",DB_ÖLN!A116,DB_Bio!A116)</f>
        <v>Deckbetrieb</v>
      </c>
      <c r="B153" s="437"/>
      <c r="C153" s="438" t="str">
        <f>IF($I$10="nein",DB_ÖLN!B116,DB_Bio!B116)</f>
        <v>AFP</v>
      </c>
      <c r="D153" s="439"/>
      <c r="E153" s="160"/>
      <c r="F153" s="150">
        <f>IF($I$10="nein",DB_ÖLN!C116,DB_Bio!C116)</f>
        <v>8</v>
      </c>
      <c r="G153" s="99">
        <f t="shared" si="7"/>
        <v>0</v>
      </c>
      <c r="H153" s="99">
        <f>IF($I$10="nein",DB_ÖLN!D116,DB_Bio!D116)</f>
        <v>752.73230769230781</v>
      </c>
      <c r="I153" s="99">
        <f t="shared" si="8"/>
        <v>0</v>
      </c>
    </row>
    <row r="154" spans="1:9" ht="11.25" customHeight="1" x14ac:dyDescent="0.2">
      <c r="A154" s="436" t="str">
        <f>IF($I$10="nein",DB_ÖLN!A118,DB_Bio!A118)</f>
        <v>Zuchteber</v>
      </c>
      <c r="B154" s="437"/>
      <c r="C154" s="438"/>
      <c r="D154" s="439"/>
      <c r="E154" s="160"/>
      <c r="F154" s="150">
        <f>IF($I$10="nein",DB_ÖLN!C118,DB_Bio!C118)</f>
        <v>9.1</v>
      </c>
      <c r="G154" s="99">
        <f t="shared" si="7"/>
        <v>0</v>
      </c>
      <c r="H154" s="99">
        <f>IF($I$10="nein",DB_ÖLN!D118,DB_Bio!D118)</f>
        <v>500</v>
      </c>
      <c r="I154" s="99">
        <f t="shared" si="8"/>
        <v>0</v>
      </c>
    </row>
    <row r="155" spans="1:9" ht="11.25" customHeight="1" x14ac:dyDescent="0.2">
      <c r="A155" s="436" t="str">
        <f>IF($I$10="nein",DB_ÖLN!A119,DB_Bio!A119)</f>
        <v>abgesetzte Ferkel</v>
      </c>
      <c r="B155" s="437"/>
      <c r="C155" s="438"/>
      <c r="D155" s="439"/>
      <c r="E155" s="160"/>
      <c r="F155" s="150">
        <f>IF($I$10="nein",DB_ÖLN!C119,DB_Bio!C119)</f>
        <v>1.6</v>
      </c>
      <c r="G155" s="99">
        <f t="shared" si="7"/>
        <v>0</v>
      </c>
      <c r="H155" s="99">
        <f>IF($I$10="nein",DB_ÖLN!D119,DB_Bio!D119)</f>
        <v>0</v>
      </c>
      <c r="I155" s="99">
        <f t="shared" si="8"/>
        <v>0</v>
      </c>
    </row>
    <row r="156" spans="1:9" ht="11.25" customHeight="1" x14ac:dyDescent="0.2">
      <c r="A156" s="436" t="str">
        <f>IF($I$10="nein",DB_ÖLN!A120,DB_Bio!A120)</f>
        <v>Mastschweine/Remonten</v>
      </c>
      <c r="B156" s="437"/>
      <c r="C156" s="438" t="str">
        <f>IF($I$10="nein",DB_ÖLN!B120,DB_Bio!B120)</f>
        <v>inkl. Remonten</v>
      </c>
      <c r="D156" s="439"/>
      <c r="E156" s="160"/>
      <c r="F156" s="150">
        <f>IF($I$10="nein",DB_ÖLN!C120,DB_Bio!C120)</f>
        <v>5.64</v>
      </c>
      <c r="G156" s="99">
        <f t="shared" ref="G156:G161" si="9">E156*F156</f>
        <v>0</v>
      </c>
      <c r="H156" s="99">
        <f>IF($I$10="nein",DB_ÖLN!D120,DB_Bio!D120)</f>
        <v>132.5</v>
      </c>
      <c r="I156" s="99">
        <f t="shared" ref="I156:I161" si="10">E156*H156</f>
        <v>0</v>
      </c>
    </row>
    <row r="157" spans="1:9" s="131" customFormat="1" ht="3" customHeight="1" x14ac:dyDescent="0.2">
      <c r="A157" s="495">
        <f>IF($I$10="nein",DB_ÖLN!A121,DB_Bio!A121)</f>
        <v>0</v>
      </c>
      <c r="B157" s="496"/>
      <c r="C157" s="448">
        <f>IF($I$10="nein",DB_ÖLN!B121,DB_Bio!B121)</f>
        <v>0</v>
      </c>
      <c r="D157" s="449"/>
      <c r="E157" s="173"/>
      <c r="F157" s="151">
        <f>IF($I$10="nein",DB_ÖLN!C121,DB_Bio!C121)</f>
        <v>0</v>
      </c>
      <c r="G157" s="102">
        <f t="shared" si="9"/>
        <v>0</v>
      </c>
      <c r="H157" s="102">
        <f>IF($I$10="nein",DB_ÖLN!D121,DB_Bio!D121)</f>
        <v>0</v>
      </c>
      <c r="I157" s="102">
        <f t="shared" si="10"/>
        <v>0</v>
      </c>
    </row>
    <row r="158" spans="1:9" ht="11.25" customHeight="1" x14ac:dyDescent="0.2">
      <c r="A158" s="436" t="str">
        <f>IF($I$10="nein",DB_ÖLN!A122,DB_Bio!A122)</f>
        <v>Zuchthennen und -hähne</v>
      </c>
      <c r="B158" s="437"/>
      <c r="C158" s="438" t="str">
        <f>IF($I$10="nein",DB_ÖLN!B122,DB_Bio!B122)</f>
        <v>Lege- und Mastlinien</v>
      </c>
      <c r="D158" s="439"/>
      <c r="E158" s="160"/>
      <c r="F158" s="150">
        <f>IF($I$10="nein",DB_ÖLN!C122,DB_Bio!C122)</f>
        <v>0.37</v>
      </c>
      <c r="G158" s="99">
        <f t="shared" si="9"/>
        <v>0</v>
      </c>
      <c r="H158" s="99">
        <f>IF($I$10="nein",DB_ÖLN!D122,DB_Bio!D122)</f>
        <v>22.5</v>
      </c>
      <c r="I158" s="99">
        <f t="shared" si="10"/>
        <v>0</v>
      </c>
    </row>
    <row r="159" spans="1:9" ht="11.25" customHeight="1" x14ac:dyDescent="0.2">
      <c r="A159" s="436" t="str">
        <f>IF($I$10="nein",DB_ÖLN!A123,"")</f>
        <v xml:space="preserve">Legehennen </v>
      </c>
      <c r="B159" s="501"/>
      <c r="C159" s="438" t="str">
        <f>IF($I$10="nein",DB_ÖLN!B123,"")</f>
        <v>6'000 Plätze, BTS</v>
      </c>
      <c r="D159" s="439"/>
      <c r="E159" s="160"/>
      <c r="F159" s="150">
        <f>IF($I$10="nein",DB_ÖLN!C123,"")</f>
        <v>0.37</v>
      </c>
      <c r="G159" s="99">
        <f>IF($I$10="nein",E159*F159,"")</f>
        <v>0</v>
      </c>
      <c r="H159" s="99">
        <f>IF($I$10="nein",DB_ÖLN!D123,"")</f>
        <v>24.909055555555558</v>
      </c>
      <c r="I159" s="99">
        <f>IF($I$10="nein",E159*H159,"")</f>
        <v>0</v>
      </c>
    </row>
    <row r="160" spans="1:9" ht="11.25" customHeight="1" x14ac:dyDescent="0.2">
      <c r="A160" s="436" t="str">
        <f>IF($I$10="nein",DB_ÖLN!A124,DB_Bio!A126)</f>
        <v xml:space="preserve">Legehennen </v>
      </c>
      <c r="B160" s="437"/>
      <c r="C160" s="438" t="str">
        <f>IF($I$10="nein",DB_ÖLN!B124,DB_Bio!B126)</f>
        <v>12'000 Plätze, BTS</v>
      </c>
      <c r="D160" s="439"/>
      <c r="E160" s="160"/>
      <c r="F160" s="150">
        <f>IF($I$10="nein",DB_ÖLN!C124,DB_Bio!C126)</f>
        <v>0.37</v>
      </c>
      <c r="G160" s="99">
        <f>E160*F160</f>
        <v>0</v>
      </c>
      <c r="H160" s="99">
        <f>IF($I$10="nein",DB_ÖLN!D124,DB_Bio!D126)</f>
        <v>25.637888888888892</v>
      </c>
      <c r="I160" s="99">
        <f>E160*H160</f>
        <v>0</v>
      </c>
    </row>
    <row r="161" spans="1:9" ht="11.25" customHeight="1" x14ac:dyDescent="0.2">
      <c r="A161" s="436" t="str">
        <f>IF($I$10="nein",DB_ÖLN!A126,DB_Bio!A128)</f>
        <v>Junghennen</v>
      </c>
      <c r="B161" s="437"/>
      <c r="C161" s="438" t="str">
        <f>IF($I$10="nein",DB_ÖLN!B126,DB_Bio!B128)</f>
        <v>Aufzucht</v>
      </c>
      <c r="D161" s="439"/>
      <c r="E161" s="160"/>
      <c r="F161" s="150">
        <f>IF($I$10="nein",DB_ÖLN!C126,DB_Bio!C128)</f>
        <v>0.11</v>
      </c>
      <c r="G161" s="99">
        <f t="shared" si="9"/>
        <v>0</v>
      </c>
      <c r="H161" s="99">
        <f>IF($I$10="nein",DB_ÖLN!D126,DB_Bio!D128)</f>
        <v>8.1531111111111105</v>
      </c>
      <c r="I161" s="99">
        <f t="shared" si="10"/>
        <v>0</v>
      </c>
    </row>
    <row r="162" spans="1:9" ht="11.25" customHeight="1" x14ac:dyDescent="0.2">
      <c r="A162" s="436" t="str">
        <f>IF($I$10="nein",DB_ÖLN!A128,"")</f>
        <v>Mastpoulets</v>
      </c>
      <c r="B162" s="437"/>
      <c r="C162" s="438" t="str">
        <f>IF($I$10="nein",DB_ÖLN!B128,"")</f>
        <v>15 Stück / m2</v>
      </c>
      <c r="D162" s="439"/>
      <c r="E162" s="160"/>
      <c r="F162" s="150">
        <f>IF($I$10="nein",DB_ÖLN!C128,"")</f>
        <v>0.24</v>
      </c>
      <c r="G162" s="99">
        <f>IF($I$10="nein",E162*F162,"")</f>
        <v>0</v>
      </c>
      <c r="H162" s="99">
        <f>IF($I$10="nein",DB_ÖLN!D128,"")</f>
        <v>9.3643838869593612</v>
      </c>
      <c r="I162" s="99">
        <f>IF($I$10="nein",E162*H162,"")</f>
        <v>0</v>
      </c>
    </row>
    <row r="163" spans="1:9" ht="11.25" customHeight="1" x14ac:dyDescent="0.2">
      <c r="A163" s="436" t="str">
        <f>IF($I$10="nein",DB_ÖLN!A129,"")</f>
        <v xml:space="preserve">Truten </v>
      </c>
      <c r="B163" s="437"/>
      <c r="C163" s="438" t="str">
        <f>IF($I$10="nein",DB_ÖLN!B129,"")</f>
        <v>jeden Alters</v>
      </c>
      <c r="D163" s="439"/>
      <c r="E163" s="160"/>
      <c r="F163" s="150">
        <f>IF($I$10="nein",DB_ÖLN!C129,"")</f>
        <v>0.68</v>
      </c>
      <c r="G163" s="99">
        <f>IF($I$10="nein",E163*F163,"")</f>
        <v>0</v>
      </c>
      <c r="H163" s="99">
        <f>IF($I$10="nein",DB_ÖLN!D129,"")</f>
        <v>7</v>
      </c>
      <c r="I163" s="99">
        <f>IF($I$10="nein",E163*H163,"")</f>
        <v>0</v>
      </c>
    </row>
    <row r="164" spans="1:9" ht="3" customHeight="1" x14ac:dyDescent="0.2">
      <c r="A164" s="146"/>
      <c r="B164" s="147"/>
      <c r="C164" s="124"/>
      <c r="E164" s="174"/>
      <c r="F164" s="138"/>
      <c r="G164" s="132"/>
      <c r="H164" s="132"/>
      <c r="I164" s="132"/>
    </row>
    <row r="165" spans="1:9" ht="11.25" customHeight="1" x14ac:dyDescent="0.2">
      <c r="A165" s="444"/>
      <c r="B165" s="445"/>
      <c r="C165" s="442"/>
      <c r="D165" s="443"/>
      <c r="E165" s="160"/>
      <c r="F165" s="161"/>
      <c r="G165" s="162">
        <f t="shared" ref="G165" si="11">E165*F165</f>
        <v>0</v>
      </c>
      <c r="H165" s="163"/>
      <c r="I165" s="244">
        <f>E165*H165</f>
        <v>0</v>
      </c>
    </row>
    <row r="166" spans="1:9" ht="11.25" customHeight="1" x14ac:dyDescent="0.2">
      <c r="A166" s="444"/>
      <c r="B166" s="445"/>
      <c r="C166" s="442"/>
      <c r="D166" s="443"/>
      <c r="E166" s="160"/>
      <c r="F166" s="161"/>
      <c r="G166" s="162">
        <f t="shared" ref="G166" si="12">E166*F166</f>
        <v>0</v>
      </c>
      <c r="H166" s="163"/>
      <c r="I166" s="244">
        <f>E166*H166</f>
        <v>0</v>
      </c>
    </row>
    <row r="167" spans="1:9" ht="6.75" customHeight="1" thickBot="1" x14ac:dyDescent="0.25">
      <c r="A167" s="112"/>
      <c r="B167" s="112"/>
    </row>
    <row r="168" spans="1:9" x14ac:dyDescent="0.2">
      <c r="A168" s="113" t="s">
        <v>133</v>
      </c>
      <c r="B168" s="114"/>
      <c r="C168" s="114"/>
      <c r="D168" s="114"/>
      <c r="E168" s="114"/>
      <c r="F168" s="114"/>
      <c r="G168" s="114"/>
      <c r="H168" s="114"/>
      <c r="I168" s="262"/>
    </row>
    <row r="169" spans="1:9" x14ac:dyDescent="0.2">
      <c r="A169" s="484" t="s">
        <v>51</v>
      </c>
      <c r="B169" s="485"/>
      <c r="C169" s="486"/>
      <c r="D169" s="482" t="str">
        <f>IF(A170&lt;E170,"&lt;","&gt;")</f>
        <v>&gt;</v>
      </c>
      <c r="E169" s="489" t="s">
        <v>193</v>
      </c>
      <c r="F169" s="439"/>
      <c r="G169" s="439"/>
      <c r="H169" s="439"/>
      <c r="I169" s="464"/>
    </row>
    <row r="170" spans="1:9" ht="15" x14ac:dyDescent="0.2">
      <c r="A170" s="487">
        <f>SUM(I65:I105,I109:I145,H13:H19)</f>
        <v>0</v>
      </c>
      <c r="B170" s="488"/>
      <c r="C170" s="488"/>
      <c r="D170" s="483"/>
      <c r="E170" s="490">
        <f>SUM(I148:I166)</f>
        <v>0</v>
      </c>
      <c r="F170" s="491"/>
      <c r="G170" s="491"/>
      <c r="H170" s="492"/>
      <c r="I170" s="464"/>
    </row>
    <row r="171" spans="1:9" ht="5.25" customHeight="1" thickBot="1" x14ac:dyDescent="0.25">
      <c r="A171" s="115"/>
      <c r="B171" s="148"/>
      <c r="C171" s="148"/>
      <c r="D171" s="148"/>
      <c r="E171" s="106"/>
      <c r="F171" s="116"/>
      <c r="G171" s="148"/>
      <c r="H171" s="148"/>
      <c r="I171" s="118"/>
    </row>
    <row r="172" spans="1:9" ht="33.75" customHeight="1" thickBot="1" x14ac:dyDescent="0.25">
      <c r="A172" s="459" t="str">
        <f>IF(A170=0,"",IF(A170&lt;E170,Text!A3,Text!A4))</f>
        <v/>
      </c>
      <c r="B172" s="460"/>
      <c r="C172" s="460"/>
      <c r="D172" s="460"/>
      <c r="E172" s="460"/>
      <c r="F172" s="460"/>
      <c r="G172" s="460"/>
      <c r="H172" s="460"/>
      <c r="I172" s="461"/>
    </row>
    <row r="173" spans="1:9" ht="3" customHeight="1" x14ac:dyDescent="0.2">
      <c r="A173" s="117"/>
      <c r="B173" s="106"/>
      <c r="C173" s="106"/>
      <c r="D173" s="106"/>
      <c r="E173" s="106"/>
      <c r="F173" s="106"/>
      <c r="G173" s="106"/>
      <c r="H173" s="106"/>
      <c r="I173" s="118"/>
    </row>
    <row r="174" spans="1:9" x14ac:dyDescent="0.2">
      <c r="A174" s="119" t="s">
        <v>134</v>
      </c>
      <c r="B174" s="106"/>
      <c r="C174" s="120"/>
      <c r="D174" s="106"/>
      <c r="E174" s="106"/>
      <c r="F174" s="106"/>
      <c r="G174" s="106"/>
      <c r="H174" s="106"/>
      <c r="I174" s="118"/>
    </row>
    <row r="175" spans="1:9" x14ac:dyDescent="0.2">
      <c r="A175" s="502" t="s">
        <v>46</v>
      </c>
      <c r="B175" s="503"/>
      <c r="C175" s="176">
        <f>SUM(I37:I54,I58)</f>
        <v>0</v>
      </c>
      <c r="D175" s="106"/>
      <c r="E175" s="106"/>
      <c r="F175" s="462" t="s">
        <v>45</v>
      </c>
      <c r="G175" s="463"/>
      <c r="H175" s="463"/>
      <c r="I175" s="464"/>
    </row>
    <row r="176" spans="1:9" x14ac:dyDescent="0.2">
      <c r="A176" s="502" t="s">
        <v>169</v>
      </c>
      <c r="B176" s="503"/>
      <c r="C176" s="176">
        <f>SUM(G109:G166)</f>
        <v>0</v>
      </c>
      <c r="D176" s="121"/>
      <c r="E176" s="122"/>
      <c r="F176" s="465" t="e">
        <f>C175/C176</f>
        <v>#DIV/0!</v>
      </c>
      <c r="G176" s="466"/>
      <c r="H176" s="466"/>
      <c r="I176" s="464"/>
    </row>
    <row r="177" spans="1:9" ht="3" customHeight="1" x14ac:dyDescent="0.25">
      <c r="A177" s="115"/>
      <c r="B177" s="121"/>
      <c r="C177" s="121"/>
      <c r="D177" s="116"/>
      <c r="E177" s="121"/>
      <c r="F177" s="122"/>
      <c r="G177" s="125"/>
      <c r="H177" s="106"/>
      <c r="I177" s="118"/>
    </row>
    <row r="178" spans="1:9" ht="15.75" thickBot="1" x14ac:dyDescent="0.3">
      <c r="A178" s="263" t="s">
        <v>47</v>
      </c>
      <c r="B178" s="106"/>
      <c r="C178" s="106"/>
      <c r="D178" s="106"/>
      <c r="E178" s="106"/>
      <c r="F178" s="106"/>
      <c r="G178" s="106"/>
      <c r="H178" s="106"/>
      <c r="I178" s="118"/>
    </row>
    <row r="179" spans="1:9" ht="14.25" customHeight="1" x14ac:dyDescent="0.2">
      <c r="A179" s="467" t="e">
        <f>IF(F176&gt;=70%,Text!A9,IF('Eingabe und Berechnungen TS,DB'!F176&lt;50%,Text!A8,IF(A170&gt;E170,Text!A9,Text!A8)))</f>
        <v>#DIV/0!</v>
      </c>
      <c r="B179" s="468"/>
      <c r="C179" s="468"/>
      <c r="D179" s="468"/>
      <c r="E179" s="468"/>
      <c r="F179" s="468"/>
      <c r="G179" s="468"/>
      <c r="H179" s="469"/>
      <c r="I179" s="470"/>
    </row>
    <row r="180" spans="1:9" ht="19.5" customHeight="1" thickBot="1" x14ac:dyDescent="0.25">
      <c r="A180" s="471"/>
      <c r="B180" s="472"/>
      <c r="C180" s="472"/>
      <c r="D180" s="472"/>
      <c r="E180" s="472"/>
      <c r="F180" s="472"/>
      <c r="G180" s="472"/>
      <c r="H180" s="473"/>
      <c r="I180" s="474"/>
    </row>
    <row r="181" spans="1:9" ht="3" customHeight="1" x14ac:dyDescent="0.2"/>
    <row r="182" spans="1:9" ht="6" customHeight="1" x14ac:dyDescent="0.2"/>
    <row r="183" spans="1:9" x14ac:dyDescent="0.2">
      <c r="A183" s="96" t="s">
        <v>138</v>
      </c>
      <c r="C183" s="457"/>
      <c r="D183" s="458"/>
      <c r="E183" s="458"/>
    </row>
    <row r="184" spans="1:9" ht="6" customHeight="1" x14ac:dyDescent="0.2">
      <c r="A184" s="106"/>
      <c r="B184" s="106"/>
      <c r="C184" s="106"/>
      <c r="D184" s="106"/>
      <c r="E184" s="106"/>
      <c r="F184" s="106"/>
      <c r="G184" s="106"/>
      <c r="H184" s="106"/>
    </row>
    <row r="199" spans="1:9" ht="15" thickBot="1" x14ac:dyDescent="0.25"/>
    <row r="200" spans="1:9" ht="15" x14ac:dyDescent="0.25">
      <c r="A200" s="404" t="s">
        <v>347</v>
      </c>
      <c r="B200" s="405"/>
      <c r="C200" s="405"/>
      <c r="D200" s="405"/>
      <c r="E200" s="405"/>
      <c r="F200" s="405"/>
      <c r="G200" s="405"/>
      <c r="H200" s="405"/>
      <c r="I200" s="406"/>
    </row>
    <row r="201" spans="1:9" ht="15" x14ac:dyDescent="0.25">
      <c r="A201" s="407"/>
      <c r="B201" s="408"/>
      <c r="C201" s="408"/>
      <c r="D201" s="408"/>
      <c r="E201" s="408"/>
      <c r="F201" s="408"/>
      <c r="G201" s="408"/>
      <c r="H201" s="408"/>
      <c r="I201" s="409"/>
    </row>
    <row r="202" spans="1:9" x14ac:dyDescent="0.2">
      <c r="A202" s="410" t="s">
        <v>350</v>
      </c>
      <c r="B202" s="411"/>
      <c r="C202" s="411"/>
      <c r="D202" s="411"/>
      <c r="E202" s="411"/>
      <c r="F202" s="411"/>
      <c r="G202" s="411"/>
      <c r="H202" s="411"/>
      <c r="I202" s="412"/>
    </row>
    <row r="203" spans="1:9" ht="49.5" customHeight="1" x14ac:dyDescent="0.2">
      <c r="A203" s="451" t="str">
        <f>IF(A170&lt;E170,Text!A17,Text!A16)</f>
        <v>Eine Zusatzbeurteilung ist nicht erforderlich.</v>
      </c>
      <c r="B203" s="452"/>
      <c r="C203" s="452"/>
      <c r="D203" s="452"/>
      <c r="E203" s="452"/>
      <c r="F203" s="452"/>
      <c r="G203" s="452"/>
      <c r="H203" s="452"/>
      <c r="I203" s="453"/>
    </row>
    <row r="204" spans="1:9" x14ac:dyDescent="0.2">
      <c r="A204" s="413"/>
      <c r="B204" s="408"/>
      <c r="C204" s="408"/>
      <c r="D204" s="408"/>
      <c r="E204" s="408"/>
      <c r="F204" s="408"/>
      <c r="G204" s="408"/>
      <c r="H204" s="408"/>
      <c r="I204" s="409"/>
    </row>
    <row r="205" spans="1:9" x14ac:dyDescent="0.2">
      <c r="A205" s="414" t="s">
        <v>349</v>
      </c>
      <c r="B205" s="408"/>
      <c r="C205" s="408"/>
      <c r="D205" s="408"/>
      <c r="E205" s="408"/>
      <c r="F205" s="408"/>
      <c r="G205" s="408"/>
      <c r="H205" s="408"/>
      <c r="I205" s="409"/>
    </row>
    <row r="206" spans="1:9" ht="59.25" customHeight="1" thickBot="1" x14ac:dyDescent="0.25">
      <c r="A206" s="454" t="str">
        <f>IF(OR(A170&gt;E170,A170=E170),"",IF(OR(Beurteilung_Matrix_intern!I51=Beurteilung_Matrix_intern!A53,Beurteilung_Matrix_intern!I51&gt;Beurteilung_Matrix_intern!A53),Text!A19,Text!A21))</f>
        <v/>
      </c>
      <c r="B206" s="455"/>
      <c r="C206" s="455"/>
      <c r="D206" s="455"/>
      <c r="E206" s="455"/>
      <c r="F206" s="455"/>
      <c r="G206" s="455"/>
      <c r="H206" s="455"/>
      <c r="I206" s="456"/>
    </row>
  </sheetData>
  <sheetProtection algorithmName="SHA-512" hashValue="NwqPgKJYqXpJ3Oxzk7MF1OOeczPbXbdsjVSAscDXpB5FlBwJsDSU1ycm4I52uYxnnxGpzP/jPhosooX1C4upnA==" saltValue="Z/VP21fPfMjWMf7lgk3j2A==" spinCount="100000" sheet="1" objects="1" scenarios="1"/>
  <protectedRanges>
    <protectedRange algorithmName="SHA-512" hashValue="C59IBMpYxuYTnGxsQ8qc3qOpQsufbpZLQ4Lf3YywDUYpP1BmVKH0Yaw0rq5wvc+JRV6rV7abx6nqcTsKnAZ6Iw==" saltValue="0a9HkbIfaQg8fvDFgsq/eA==" spinCount="100000" sqref="A183:B183" name="Bereich27"/>
    <protectedRange algorithmName="SHA-512" hashValue="4QF1xKeduh79rdikV7anAHkZgB7JB9qG+AZR8+K1y4nH4/4gJqF4pLlsupD9iba3G51EllMhNZDNIca4fOlMmA==" saltValue="4uOlaHVT6jWiZxecc/qutg==" spinCount="100000" sqref="A178:I178" name="Bereich26"/>
    <protectedRange algorithmName="SHA-512" hashValue="0gG1it1eNzeQrc4PNUyVmBzpkcyk0OngT6NaV6d5RVod2MsfYriUNBy4QIcZ8+cGsnj1UB38aVjmwmNbbxfTHQ==" saltValue="zSWhBPax9E+/4JMeZ9fe+g==" spinCount="100000" sqref="F175" name="Bereich25"/>
    <protectedRange algorithmName="SHA-512" hashValue="TECQYN3Sy+0wznNxv2D+WkLeNm9HJG6p5XKELhexjEyvMG3SpFEbOO7bMdQpfv/V/sZTRncEmmt1GjRqIs4ZDg==" saltValue="pWsCSBgl3Az1rFOao4AYYg==" spinCount="100000" sqref="A174:B176" name="Bereich24"/>
    <protectedRange algorithmName="SHA-512" hashValue="X2syGBUERzXI5IydKxSdiYBrKo4O3crrSeHu5Y4GG83KxIPQYwrt/9QHjmOilnuDkoXrg+nPAi9b+RHRgBqOug==" saltValue="cJn00nuIqlq9z6MgHAjqEw==" spinCount="100000" sqref="E169" name="Bereich23"/>
    <protectedRange algorithmName="SHA-512" hashValue="whfMBsD3M5VZNaj2DG+WvmLqN47dMnAyfluAgy+VGVhpXaWy15/XiSq9fpbNAeWPySH9WGtAHPOR7qIyfwS9XA==" saltValue="7zhEZo7Zd0CIkSSPTr435A==" spinCount="100000" sqref="A168:C169" name="Bereich22"/>
    <protectedRange algorithmName="SHA-512" hashValue="p8ivdFIxCcRh4Z/ibMxvpkpTUvDA+kokY0+OFfitIXT3x3MHd5V8CuptTEiV2s06/UZcXHwOzBj2EQ/wbyhIqA==" saltValue="4by0n2oxh8YnDhmgjfZL+A==" spinCount="100000" sqref="H148:H163" name="Bereich21"/>
    <protectedRange algorithmName="SHA-512" hashValue="w1Ab2cEGAE5MZBKoZnBD7p6GBxNNBMMkw3MzJvvbFNjdN+derhUB8MgRbO3eZRlFsifLN98bXIs/lCb25R1Ddg==" saltValue="Onsj10qetBZ6HmEvyFda7A==" spinCount="100000" sqref="F148:F163" name="Bereich20"/>
    <protectedRange algorithmName="SHA-512" hashValue="nnc2pzl1zlw33tzmYzyyj0P6djjUKDorTSN3zZ5+A/eUIwq7GkreFqwfln31NWPABaavTyhoRhp+XqyIgTO/+w==" saltValue="GG+8YWk2iH9JLYMhyMwuBw==" spinCount="100000" sqref="C148:D163" name="Bereich19"/>
    <protectedRange algorithmName="SHA-512" hashValue="OSk0WDhMcqHgQmSpfn720wFmWE2CeI/y8hrRToMfEQXi1WgiVeEm+cUF9exJPskbgL+DexJDJQ6u1tpZmctGUg==" saltValue="VLXaomfxVNGMLCz9hOubaw==" spinCount="100000" sqref="A148:B163" name="Bereich18"/>
    <protectedRange algorithmName="SHA-512" hashValue="qyu1tsImbqmJQROj0AH8riPV7Fx+enQImlFxBOLVLdYw/vWVqrJAMhdsvDtLTfubk1KUQNBOwGE42YXIXLFjrg==" saltValue="I54VhP6JweVdCh9xKt8pbA==" spinCount="100000" sqref="H109:H142" name="Bereich17"/>
    <protectedRange algorithmName="SHA-512" hashValue="Zd61bvBSS6thOUO8Tt4lBm6seQosdeN1CgpU8KTTB+3XMZVV2SnkFsaMZh6+Ni9fMOtbJujVjDA9N0Aw5mRLHw==" saltValue="RWqJR9kfm1Cs+75EDM78IQ==" spinCount="100000" sqref="F109:F145" name="Bereich16"/>
    <protectedRange algorithmName="SHA-512" hashValue="+di0jk4n5DnodYVE5GJ5SxwmeL+2v2PWbuJ1LCJKdNwqvK6c1qvohddh3ZkolyyhmGUmSxSglY5xw9yOCROBag==" saltValue="aVz7qaWbBLytysDubEB7Lw==" spinCount="100000" sqref="E107:I108" name="Bereich15"/>
    <protectedRange algorithmName="SHA-512" hashValue="4zE/tSPFGhlt9AuAEYo5eTHrbrXLofIssE+8O4OmzTmK2oRKIebtaAJ4S6tecz8junPLrThzWIomm3hQzJK9pA==" saltValue="be8bVofVGgCkvCle7kpJdQ==" spinCount="100000" sqref="A107:D142" name="Bereich14"/>
    <protectedRange algorithmName="SHA-512" hashValue="XK88nh3ZXrf8OStQSBmDhKtKq+QrIsal9Y9fhAAViROGcE3C7K5pkPVst9/SaAr/TanghmFj38qzj0qkUnlEVw==" saltValue="9uUuNIHwLVW2tKuTQZz+JA==" spinCount="100000" sqref="H64:H102" name="Bereich13"/>
    <protectedRange algorithmName="SHA-512" hashValue="dUty8pZID5WOFRoXJkSflNf5d19vtOfsepyltDspE3DtQUHIJuBCL7NfdK8XNskyfXEghyV+udndZ7iDaUIn+Q==" saltValue="o3WslkqGxN7kw059V0Ub+Q==" spinCount="100000" sqref="A64:F102" name="Bereich12"/>
    <protectedRange algorithmName="SHA-512" hashValue="7ilbQeVIEVeQg8zWejsFq23pCs29+ta5atIDMFTi73CtodZac0YgkOgE2XFeGxflggYzXxSc9K+yC40wh5IZLQ==" saltValue="XSRbO3GY54SfrSgT1ejdyw==" spinCount="100000" sqref="G60:G61" name="Bereich11"/>
    <protectedRange algorithmName="SHA-512" hashValue="t9TzhGpbo/ZOAeLmAmzuCyzJ5rkS95NabEQYLjcWC00SY42WfC8lzM0ZoLjY7aBylmVcTAX6PvzZAsd9/eToug==" saltValue="N2xwjMRIIEM1RpfdvmD+wQ==" spinCount="100000" sqref="A60:I60" name="Bereich10"/>
    <protectedRange algorithmName="SHA-512" hashValue="/1SwvyWZfZ1L/3OHgcZPIKRPJ6uNJWr8IDpQuPb1nkD6t+dCJEwqsMfafpn8hjqrAkx27OYXbQ5LQmNAzZa2ew==" saltValue="CsPnabYUb2xs6VPIAvaSSA==" spinCount="100000" sqref="G36:G58" name="Bereich9"/>
    <protectedRange algorithmName="SHA-512" hashValue="xHO+Bf2KxZYJmIt2WZLE88/SrxqfQR/RBNPM5JH2awinVipFcdBoZrJ4y7DSgDDAm1Vl28lM+cKrSxDY8iCalQ==" saltValue="YCYNPi27Wq38fmRuGVOOfw==" spinCount="100000" sqref="A37:E58" name="Bereich8"/>
    <protectedRange algorithmName="SHA-512" hashValue="gM3qKcW2WrAt5Fcnek+yUJpG79JyLUSBQh5at/6r9QjL4hHOteYouZv/yGCHZdhwj9owfxoAREQEKwzhGk0lnA==" saltValue="PuQK9poPwt5mSwVgCa6s9Q==" spinCount="100000" sqref="A35:I36" name="Bereich7"/>
    <protectedRange algorithmName="SHA-512" hashValue="rIS56ixBHd0D80S4akKR8Rn0Jnui3bHrSnhF/Ih7Glj8+tGl9Pm3aJ1lKoYkS2+0KpTw0b6HICJPSpEWfxETYg==" saltValue="5MoTByFpih7jLupxWF9Oow==" spinCount="100000" sqref="A32:I32" name="Bereich6"/>
    <protectedRange algorithmName="SHA-512" hashValue="qaXGCFuWHVziL/mAJtpr65MLNevTwHN7zUkHIzEMzl86bvyfX14IF5QqNPo+E82Y/u/Omre+5Cccc50IrCJr6A==" saltValue="xVjcDR3P2j38zxQ0r4pRIQ==" spinCount="100000" sqref="A21:C30" name="Bereich5"/>
    <protectedRange algorithmName="SHA-512" hashValue="GAcN92dQRoJM/1cz85iJXWUJHXrGqe02vwCsbWtBG+rG60ePNI96qeUpOS4JMui7ingQuCGRekFGyLASebVwfg==" saltValue="1D8S16lj9hG+XPhpKBeLEw==" spinCount="100000" sqref="G12:G19" name="Bereich4"/>
    <protectedRange algorithmName="SHA-512" hashValue="W0xT9qtGJtiM2fsc6GJwNAWujIQufvRRzbLnLeeSLCQZpev5eb7+XNB+PzTnbbnemJzoSoQoHMJ/XdVKh7xJpw==" saltValue="wk7Kls5pUfIUVU0mTVwCKQ==" spinCount="100000" sqref="E12:E19" name="Bereich3"/>
    <protectedRange algorithmName="SHA-512" hashValue="5rIaQ7QHKuYHO1uuT1XINZlJ9GEj9g4+tTi/AiGXcjgGLW17nHBjeD9H++kl38kP1Lo8XWUAo2Auf9urnizBOw==" saltValue="9C3hW8Q2pR62wAjW7VKOyA==" spinCount="100000" sqref="A10:C19" name="Bereich2"/>
    <protectedRange algorithmName="SHA-512" hashValue="h1myJFzVSc4+NIdDYserm8uloBy5e4gPCVWesEHpahPwAiCMJfTVNAG41AwS1zoj7V1rZtDjKYysSFEerh8mYg==" saltValue="k0ckl+Y6Z+7fQ0n7TmtVPQ==" spinCount="100000" sqref="A7:B8" name="Bereich1"/>
  </protectedRanges>
  <mergeCells count="248">
    <mergeCell ref="A10:C12"/>
    <mergeCell ref="C119:D119"/>
    <mergeCell ref="C102:F102"/>
    <mergeCell ref="C105:F105"/>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112:D112"/>
    <mergeCell ref="A21:C22"/>
    <mergeCell ref="B44:E44"/>
    <mergeCell ref="B47:E47"/>
    <mergeCell ref="B48:E48"/>
    <mergeCell ref="A13:B13"/>
    <mergeCell ref="B43:E43"/>
    <mergeCell ref="B36:C36"/>
    <mergeCell ref="B45:E45"/>
    <mergeCell ref="B46:E46"/>
    <mergeCell ref="A29:C29"/>
    <mergeCell ref="H41:H43"/>
    <mergeCell ref="H45:H47"/>
    <mergeCell ref="B41:E41"/>
    <mergeCell ref="B42:E42"/>
    <mergeCell ref="A25:B25"/>
    <mergeCell ref="F21:G21"/>
    <mergeCell ref="A23:B23"/>
    <mergeCell ref="A26:B26"/>
    <mergeCell ref="A113:B113"/>
    <mergeCell ref="C109:D109"/>
    <mergeCell ref="C110:D110"/>
    <mergeCell ref="C111:D111"/>
    <mergeCell ref="C87:F87"/>
    <mergeCell ref="C88:F88"/>
    <mergeCell ref="C91:F91"/>
    <mergeCell ref="C92:F92"/>
    <mergeCell ref="C66:F66"/>
    <mergeCell ref="C67:F67"/>
    <mergeCell ref="A111:B111"/>
    <mergeCell ref="A109:B109"/>
    <mergeCell ref="A110:B110"/>
    <mergeCell ref="C68:F68"/>
    <mergeCell ref="C69:F69"/>
    <mergeCell ref="A100:B100"/>
    <mergeCell ref="A97:B97"/>
    <mergeCell ref="A98:B98"/>
    <mergeCell ref="C100:F100"/>
    <mergeCell ref="A84:B84"/>
    <mergeCell ref="A85:B85"/>
    <mergeCell ref="A86:B86"/>
    <mergeCell ref="A79:B79"/>
    <mergeCell ref="A70:B70"/>
    <mergeCell ref="G107:G108"/>
    <mergeCell ref="H107:H108"/>
    <mergeCell ref="B53:E53"/>
    <mergeCell ref="B54:E54"/>
    <mergeCell ref="A58:E58"/>
    <mergeCell ref="A65:B65"/>
    <mergeCell ref="B49:E49"/>
    <mergeCell ref="A112:B112"/>
    <mergeCell ref="C94:F94"/>
    <mergeCell ref="C95:F95"/>
    <mergeCell ref="C96:F96"/>
    <mergeCell ref="C97:F97"/>
    <mergeCell ref="C93:F93"/>
    <mergeCell ref="C89:F89"/>
    <mergeCell ref="C90:F90"/>
    <mergeCell ref="C98:F98"/>
    <mergeCell ref="C99:F99"/>
    <mergeCell ref="A99:B99"/>
    <mergeCell ref="A102:B102"/>
    <mergeCell ref="A96:B96"/>
    <mergeCell ref="A91:B91"/>
    <mergeCell ref="A105:B105"/>
    <mergeCell ref="A94:B94"/>
    <mergeCell ref="A83:B83"/>
    <mergeCell ref="A82:B82"/>
    <mergeCell ref="A80:B80"/>
    <mergeCell ref="A75:B75"/>
    <mergeCell ref="A76:B76"/>
    <mergeCell ref="A77:B77"/>
    <mergeCell ref="A81:B81"/>
    <mergeCell ref="A5:I5"/>
    <mergeCell ref="C7:I7"/>
    <mergeCell ref="C8:I8"/>
    <mergeCell ref="A27:B27"/>
    <mergeCell ref="A33:I33"/>
    <mergeCell ref="H37:H39"/>
    <mergeCell ref="A14:B14"/>
    <mergeCell ref="A15:B15"/>
    <mergeCell ref="A16:B16"/>
    <mergeCell ref="A18:B18"/>
    <mergeCell ref="A19:B19"/>
    <mergeCell ref="B37:E37"/>
    <mergeCell ref="B38:E38"/>
    <mergeCell ref="B39:E39"/>
    <mergeCell ref="B40:E40"/>
    <mergeCell ref="A30:C30"/>
    <mergeCell ref="C70:F70"/>
    <mergeCell ref="H49:H50"/>
    <mergeCell ref="A69:B69"/>
    <mergeCell ref="B51:E51"/>
    <mergeCell ref="B52:E52"/>
    <mergeCell ref="C130:D130"/>
    <mergeCell ref="C144:D144"/>
    <mergeCell ref="C139:D139"/>
    <mergeCell ref="C140:D140"/>
    <mergeCell ref="C136:D136"/>
    <mergeCell ref="C137:D137"/>
    <mergeCell ref="C138:D138"/>
    <mergeCell ref="A114:B114"/>
    <mergeCell ref="A115:B115"/>
    <mergeCell ref="A116:B116"/>
    <mergeCell ref="A117:B117"/>
    <mergeCell ref="A119:B119"/>
    <mergeCell ref="A118:B118"/>
    <mergeCell ref="A90:B90"/>
    <mergeCell ref="A95:B95"/>
    <mergeCell ref="A137:B137"/>
    <mergeCell ref="A138:B138"/>
    <mergeCell ref="A139:B139"/>
    <mergeCell ref="A140:B140"/>
    <mergeCell ref="C71:F71"/>
    <mergeCell ref="A71:B71"/>
    <mergeCell ref="A176:B176"/>
    <mergeCell ref="A175:B175"/>
    <mergeCell ref="A166:B166"/>
    <mergeCell ref="A134:B134"/>
    <mergeCell ref="A121:B121"/>
    <mergeCell ref="A124:B124"/>
    <mergeCell ref="A126:B126"/>
    <mergeCell ref="C131:D131"/>
    <mergeCell ref="C132:D132"/>
    <mergeCell ref="C133:D133"/>
    <mergeCell ref="C134:D134"/>
    <mergeCell ref="C135:D135"/>
    <mergeCell ref="C163:D163"/>
    <mergeCell ref="C166:D166"/>
    <mergeCell ref="C141:D141"/>
    <mergeCell ref="C142:D142"/>
    <mergeCell ref="C150:D150"/>
    <mergeCell ref="C151:D151"/>
    <mergeCell ref="C154:D154"/>
    <mergeCell ref="C155:D155"/>
    <mergeCell ref="C161:D161"/>
    <mergeCell ref="C162:D162"/>
    <mergeCell ref="C158:D158"/>
    <mergeCell ref="A161:B161"/>
    <mergeCell ref="A163:B163"/>
    <mergeCell ref="A156:B156"/>
    <mergeCell ref="A157:B157"/>
    <mergeCell ref="A158:B158"/>
    <mergeCell ref="A159:B159"/>
    <mergeCell ref="A160:B160"/>
    <mergeCell ref="C160:D160"/>
    <mergeCell ref="C156:D156"/>
    <mergeCell ref="C157:D157"/>
    <mergeCell ref="A142:B142"/>
    <mergeCell ref="A143:B143"/>
    <mergeCell ref="A150:B150"/>
    <mergeCell ref="A151:B151"/>
    <mergeCell ref="A144:B144"/>
    <mergeCell ref="A147:I147"/>
    <mergeCell ref="C159:D159"/>
    <mergeCell ref="C152:D152"/>
    <mergeCell ref="A162:B162"/>
    <mergeCell ref="B50:E50"/>
    <mergeCell ref="D169:D170"/>
    <mergeCell ref="A169:C169"/>
    <mergeCell ref="A170:C170"/>
    <mergeCell ref="A66:B66"/>
    <mergeCell ref="A67:B67"/>
    <mergeCell ref="A68:B68"/>
    <mergeCell ref="A72:B72"/>
    <mergeCell ref="A73:B73"/>
    <mergeCell ref="A74:B74"/>
    <mergeCell ref="E169:I169"/>
    <mergeCell ref="E170:I170"/>
    <mergeCell ref="C65:F65"/>
    <mergeCell ref="C148:D148"/>
    <mergeCell ref="C113:D113"/>
    <mergeCell ref="C114:D114"/>
    <mergeCell ref="A87:B87"/>
    <mergeCell ref="A135:B135"/>
    <mergeCell ref="A136:B136"/>
    <mergeCell ref="A127:B127"/>
    <mergeCell ref="A128:B128"/>
    <mergeCell ref="A129:B129"/>
    <mergeCell ref="A130:B130"/>
    <mergeCell ref="A131:B131"/>
    <mergeCell ref="A78:B78"/>
    <mergeCell ref="A203:I203"/>
    <mergeCell ref="A206:I206"/>
    <mergeCell ref="C153:D153"/>
    <mergeCell ref="C183:E183"/>
    <mergeCell ref="A172:I172"/>
    <mergeCell ref="F175:I175"/>
    <mergeCell ref="F176:I176"/>
    <mergeCell ref="A179:I180"/>
    <mergeCell ref="A141:B141"/>
    <mergeCell ref="C115:D115"/>
    <mergeCell ref="C116:D116"/>
    <mergeCell ref="C117:D117"/>
    <mergeCell ref="C118:D118"/>
    <mergeCell ref="A120:B120"/>
    <mergeCell ref="A92:B92"/>
    <mergeCell ref="A93:B93"/>
    <mergeCell ref="A88:B88"/>
    <mergeCell ref="A89:B89"/>
    <mergeCell ref="A122:B122"/>
    <mergeCell ref="C122:D122"/>
    <mergeCell ref="C123:D123"/>
    <mergeCell ref="I107:I108"/>
    <mergeCell ref="A108:D108"/>
    <mergeCell ref="A104:B104"/>
    <mergeCell ref="A125:B125"/>
    <mergeCell ref="C125:D125"/>
    <mergeCell ref="C104:F104"/>
    <mergeCell ref="A145:B145"/>
    <mergeCell ref="C145:D145"/>
    <mergeCell ref="A165:B165"/>
    <mergeCell ref="C165:D165"/>
    <mergeCell ref="E107:E108"/>
    <mergeCell ref="F107:F108"/>
    <mergeCell ref="C120:D120"/>
    <mergeCell ref="C121:D121"/>
    <mergeCell ref="C124:D124"/>
    <mergeCell ref="C126:D126"/>
    <mergeCell ref="C127:D127"/>
    <mergeCell ref="C128:D128"/>
    <mergeCell ref="C129:D129"/>
    <mergeCell ref="A132:B132"/>
    <mergeCell ref="A133:B133"/>
    <mergeCell ref="A148:B148"/>
    <mergeCell ref="A154:B154"/>
    <mergeCell ref="A155:B155"/>
    <mergeCell ref="A152:B152"/>
    <mergeCell ref="A153:B153"/>
  </mergeCells>
  <conditionalFormatting sqref="D31:G31">
    <cfRule type="containsText" dxfId="2" priority="7" operator="containsText" text="nein">
      <formula>NOT(ISERROR(SEARCH("nein",D31)))</formula>
    </cfRule>
  </conditionalFormatting>
  <conditionalFormatting sqref="D29:I30">
    <cfRule type="containsText" dxfId="1" priority="5" operator="containsText" text="nein">
      <formula>NOT(ISERROR(SEARCH("nein",D29)))</formula>
    </cfRule>
  </conditionalFormatting>
  <dataValidations count="1">
    <dataValidation type="list" allowBlank="1" showInputMessage="1" showErrorMessage="1" sqref="I10 H22 G61" xr:uid="{00000000-0002-0000-0000-000000000000}">
      <formula1>"ja, nein"</formula1>
    </dataValidation>
  </dataValidations>
  <pageMargins left="0.7" right="0.7" top="0.78740157499999996" bottom="0.78740157499999996" header="0.3" footer="0.3"/>
  <pageSetup paperSize="9" scale="74" orientation="portrait" r:id="rId1"/>
  <headerFooter>
    <oddFooter>&amp;L&amp;8       &amp;D / LANAT / ASP &amp;R&amp;8 
&amp;F</oddFooter>
  </headerFooter>
  <rowBreaks count="1" manualBreakCount="1">
    <brk id="93" max="8" man="1"/>
  </rowBreaks>
  <drawing r:id="rId2"/>
  <legacyDrawing r:id="rId3"/>
  <oleObjects>
    <mc:AlternateContent xmlns:mc="http://schemas.openxmlformats.org/markup-compatibility/2006">
      <mc:Choice Requires="x14">
        <oleObject progId="Word.Picture.8" shapeId="1028" r:id="rId4">
          <objectPr defaultSize="0" autoPict="0" r:id="rId5">
            <anchor moveWithCells="1" sizeWithCells="1">
              <from>
                <xdr:col>0</xdr:col>
                <xdr:colOff>95250</xdr:colOff>
                <xdr:row>0</xdr:row>
                <xdr:rowOff>28575</xdr:rowOff>
              </from>
              <to>
                <xdr:col>1</xdr:col>
                <xdr:colOff>457200</xdr:colOff>
                <xdr:row>4</xdr:row>
                <xdr:rowOff>0</xdr:rowOff>
              </to>
            </anchor>
          </objectPr>
        </oleObject>
      </mc:Choice>
      <mc:Fallback>
        <oleObject progId="Word.Picture.8" shapeId="1028" r:id="rId4"/>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8" operator="containsText" id="{FFE6CF36-DB55-4AE5-A041-3588C39C2F8D}">
            <xm:f>NOT(ISERROR(SEARCH(Berechnungen_Grundlagen!$A$91,A33)))</xm:f>
            <xm:f>Berechnungen_Grundlagen!$A$91</xm:f>
            <x14:dxf>
              <font>
                <color rgb="FFFF0000"/>
              </font>
            </x14:dxf>
          </x14:cfRule>
          <xm:sqref>A33:H33</xm:sqref>
        </x14:conditionalFormatting>
        <x14:conditionalFormatting xmlns:xm="http://schemas.microsoft.com/office/excel/2006/main">
          <x14:cfRule type="containsText" priority="3" operator="containsText" id="{B18B6AD7-7900-4035-80D0-80D6202A62B3}">
            <xm:f>NOT(ISERROR(SEARCH(Berechnungen_Grundlagen!$A$76,C25)))</xm:f>
            <xm:f>Berechnungen_Grundlagen!$A$76</xm:f>
            <x14:dxf>
              <font>
                <color rgb="FFFF0000"/>
              </font>
            </x14:dxf>
          </x14:cfRule>
          <xm:sqref>C25:C27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Berechnungen_Grundlagen!$A$85:$A$86</xm:f>
          </x14:formula1>
          <xm:sqref>D30:I30</xm:sqref>
        </x14:dataValidation>
        <x14:dataValidation type="list" allowBlank="1" showInputMessage="1" showErrorMessage="1" xr:uid="{00000000-0002-0000-0000-000002000000}">
          <x14:formula1>
            <xm:f>Berechnungen_Grundlagen!$A$80:$A$81</xm:f>
          </x14:formula1>
          <xm:sqref>E21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J58"/>
  <sheetViews>
    <sheetView zoomScaleNormal="100" workbookViewId="0">
      <selection activeCell="H42" sqref="H42"/>
    </sheetView>
  </sheetViews>
  <sheetFormatPr baseColWidth="10" defaultRowHeight="14.25" x14ac:dyDescent="0.2"/>
  <cols>
    <col min="1" max="1" width="5" customWidth="1"/>
    <col min="2" max="2" width="30.125" customWidth="1"/>
    <col min="3" max="3" width="10" customWidth="1"/>
    <col min="4" max="4" width="14.75" customWidth="1"/>
    <col min="5" max="5" width="10.25" customWidth="1"/>
    <col min="6" max="6" width="13.625" customWidth="1"/>
    <col min="7" max="8" width="11.25" customWidth="1"/>
    <col min="9" max="9" width="9.625" customWidth="1"/>
    <col min="10" max="10" width="28.25" customWidth="1"/>
  </cols>
  <sheetData>
    <row r="1" spans="1:10" s="85" customFormat="1" ht="18" x14ac:dyDescent="0.25">
      <c r="B1" s="86" t="s">
        <v>0</v>
      </c>
      <c r="E1" s="87"/>
      <c r="F1" s="87"/>
      <c r="G1" s="87"/>
      <c r="H1" s="87"/>
      <c r="J1" s="88" t="s">
        <v>1</v>
      </c>
    </row>
    <row r="2" spans="1:10" s="85" customFormat="1" ht="15.75" x14ac:dyDescent="0.25">
      <c r="B2" s="86" t="s">
        <v>2</v>
      </c>
      <c r="E2" s="89"/>
      <c r="F2" s="89"/>
      <c r="G2" s="89"/>
      <c r="H2" s="89"/>
      <c r="J2" s="88" t="s">
        <v>3</v>
      </c>
    </row>
    <row r="3" spans="1:10" s="85" customFormat="1" ht="15.75" x14ac:dyDescent="0.25">
      <c r="B3" s="90" t="s">
        <v>368</v>
      </c>
      <c r="J3" s="88">
        <v>2024</v>
      </c>
    </row>
    <row r="4" spans="1:10" s="85" customFormat="1" ht="5.25" customHeight="1" x14ac:dyDescent="0.2"/>
    <row r="5" spans="1:10" ht="20.25" x14ac:dyDescent="0.3">
      <c r="A5" s="542" t="s">
        <v>289</v>
      </c>
      <c r="B5" s="542"/>
      <c r="C5" s="542"/>
      <c r="D5" s="542"/>
      <c r="E5" s="542"/>
      <c r="F5" s="542"/>
      <c r="G5" s="542"/>
      <c r="H5" s="542"/>
      <c r="I5" s="542"/>
      <c r="J5" s="542"/>
    </row>
    <row r="6" spans="1:10" ht="5.25" customHeight="1" x14ac:dyDescent="0.2"/>
    <row r="7" spans="1:10" ht="39.75" customHeight="1" x14ac:dyDescent="0.2">
      <c r="A7" s="539" t="s">
        <v>290</v>
      </c>
      <c r="B7" s="539"/>
      <c r="C7" s="539"/>
      <c r="D7" s="539"/>
      <c r="E7" s="539"/>
      <c r="F7" s="539"/>
      <c r="G7" s="539"/>
      <c r="H7" s="539"/>
      <c r="I7" s="539"/>
      <c r="J7" s="539"/>
    </row>
    <row r="8" spans="1:10" ht="8.1" customHeight="1" x14ac:dyDescent="0.2">
      <c r="A8" s="332"/>
    </row>
    <row r="9" spans="1:10" s="1" customFormat="1" ht="15" customHeight="1" thickBot="1" x14ac:dyDescent="0.25">
      <c r="A9" s="333" t="s">
        <v>291</v>
      </c>
      <c r="B9" s="334"/>
      <c r="C9" s="334"/>
      <c r="D9" s="334"/>
      <c r="E9" s="334"/>
      <c r="F9" s="334"/>
      <c r="G9" s="334"/>
      <c r="H9" s="334"/>
      <c r="I9" s="334"/>
      <c r="J9" s="334"/>
    </row>
    <row r="10" spans="1:10" s="1" customFormat="1" ht="12" customHeight="1" x14ac:dyDescent="0.2">
      <c r="A10" s="543" t="s">
        <v>292</v>
      </c>
      <c r="B10" s="544"/>
      <c r="C10" s="544"/>
      <c r="D10" s="544"/>
      <c r="E10" s="544"/>
      <c r="F10" s="544"/>
      <c r="G10" s="544"/>
      <c r="H10" s="544"/>
      <c r="I10" s="544"/>
      <c r="J10" s="545"/>
    </row>
    <row r="11" spans="1:10" s="1" customFormat="1" ht="5.0999999999999996" customHeight="1" x14ac:dyDescent="0.2">
      <c r="A11" s="335"/>
      <c r="B11" s="336"/>
      <c r="C11" s="336"/>
      <c r="D11" s="336"/>
      <c r="E11" s="336"/>
      <c r="F11" s="336"/>
      <c r="G11" s="336"/>
      <c r="H11" s="336"/>
      <c r="I11" s="336"/>
      <c r="J11" s="337"/>
    </row>
    <row r="12" spans="1:10" s="1" customFormat="1" ht="12" customHeight="1" x14ac:dyDescent="0.2">
      <c r="A12" s="338" t="s">
        <v>293</v>
      </c>
      <c r="B12" s="339"/>
      <c r="C12" s="339"/>
      <c r="D12" s="339"/>
      <c r="E12" s="339"/>
      <c r="F12" s="339"/>
      <c r="G12" s="339"/>
      <c r="H12" s="339"/>
      <c r="I12" s="339"/>
      <c r="J12" s="340"/>
    </row>
    <row r="13" spans="1:10" s="1" customFormat="1" ht="12" customHeight="1" x14ac:dyDescent="0.2">
      <c r="A13" s="541" t="s">
        <v>294</v>
      </c>
      <c r="B13" s="539"/>
      <c r="C13" s="539"/>
      <c r="D13" s="539"/>
      <c r="E13" s="539"/>
      <c r="F13" s="539"/>
      <c r="G13" s="539"/>
      <c r="H13" s="539"/>
      <c r="I13" s="539"/>
      <c r="J13" s="337"/>
    </row>
    <row r="14" spans="1:10" s="1" customFormat="1" ht="12" customHeight="1" x14ac:dyDescent="0.2">
      <c r="A14" s="538" t="s">
        <v>295</v>
      </c>
      <c r="B14" s="539"/>
      <c r="C14" s="539"/>
      <c r="D14" s="539"/>
      <c r="E14" s="539"/>
      <c r="F14" s="539"/>
      <c r="G14" s="539"/>
      <c r="H14" s="539"/>
      <c r="I14" s="539"/>
      <c r="J14" s="337"/>
    </row>
    <row r="15" spans="1:10" s="1" customFormat="1" ht="12" customHeight="1" x14ac:dyDescent="0.2">
      <c r="A15" s="538" t="s">
        <v>296</v>
      </c>
      <c r="B15" s="539"/>
      <c r="C15" s="539"/>
      <c r="D15" s="539"/>
      <c r="E15" s="539"/>
      <c r="F15" s="539"/>
      <c r="G15" s="539"/>
      <c r="H15" s="539"/>
      <c r="I15" s="539"/>
      <c r="J15" s="337"/>
    </row>
    <row r="16" spans="1:10" s="1" customFormat="1" ht="12" customHeight="1" x14ac:dyDescent="0.2">
      <c r="A16" s="546" t="s">
        <v>297</v>
      </c>
      <c r="B16" s="547"/>
      <c r="C16" s="547"/>
      <c r="D16" s="547"/>
      <c r="E16" s="547"/>
      <c r="F16" s="547"/>
      <c r="G16" s="547"/>
      <c r="H16" s="547"/>
      <c r="I16" s="547"/>
      <c r="J16" s="341"/>
    </row>
    <row r="17" spans="1:10" s="342" customFormat="1" ht="12" customHeight="1" x14ac:dyDescent="0.2">
      <c r="A17" s="338" t="s">
        <v>298</v>
      </c>
      <c r="B17" s="339"/>
      <c r="C17" s="339"/>
      <c r="D17" s="339"/>
      <c r="E17" s="339"/>
      <c r="F17" s="339"/>
      <c r="G17" s="339"/>
      <c r="H17" s="339"/>
      <c r="I17" s="339"/>
      <c r="J17" s="340"/>
    </row>
    <row r="18" spans="1:10" s="342" customFormat="1" ht="12" customHeight="1" x14ac:dyDescent="0.2">
      <c r="A18" s="541" t="s">
        <v>294</v>
      </c>
      <c r="B18" s="539"/>
      <c r="C18" s="539"/>
      <c r="D18" s="539"/>
      <c r="E18" s="539"/>
      <c r="F18" s="539"/>
      <c r="G18" s="539"/>
      <c r="H18" s="539"/>
      <c r="I18" s="539"/>
      <c r="J18" s="337"/>
    </row>
    <row r="19" spans="1:10" s="342" customFormat="1" ht="12" customHeight="1" x14ac:dyDescent="0.2">
      <c r="A19" s="538" t="s">
        <v>299</v>
      </c>
      <c r="B19" s="539"/>
      <c r="C19" s="539"/>
      <c r="D19" s="539"/>
      <c r="E19" s="539"/>
      <c r="F19" s="539"/>
      <c r="G19" s="539"/>
      <c r="H19" s="539"/>
      <c r="I19" s="539"/>
      <c r="J19" s="337"/>
    </row>
    <row r="20" spans="1:10" s="342" customFormat="1" ht="12" customHeight="1" x14ac:dyDescent="0.2">
      <c r="A20" s="538" t="s">
        <v>300</v>
      </c>
      <c r="B20" s="539"/>
      <c r="C20" s="539"/>
      <c r="D20" s="539"/>
      <c r="E20" s="539"/>
      <c r="F20" s="539"/>
      <c r="G20" s="539"/>
      <c r="H20" s="539"/>
      <c r="I20" s="539"/>
      <c r="J20" s="337"/>
    </row>
    <row r="21" spans="1:10" s="342" customFormat="1" ht="12" customHeight="1" x14ac:dyDescent="0.2">
      <c r="A21" s="546" t="s">
        <v>301</v>
      </c>
      <c r="B21" s="547"/>
      <c r="C21" s="547"/>
      <c r="D21" s="547"/>
      <c r="E21" s="547"/>
      <c r="F21" s="547"/>
      <c r="G21" s="547"/>
      <c r="H21" s="547"/>
      <c r="I21" s="547"/>
      <c r="J21" s="341"/>
    </row>
    <row r="22" spans="1:10" s="342" customFormat="1" ht="12" customHeight="1" x14ac:dyDescent="0.2">
      <c r="A22" s="343" t="s">
        <v>302</v>
      </c>
      <c r="B22" s="336"/>
      <c r="C22" s="336"/>
      <c r="D22" s="336"/>
      <c r="E22" s="336"/>
      <c r="F22" s="336"/>
      <c r="G22" s="336"/>
      <c r="H22" s="336"/>
      <c r="I22" s="336"/>
      <c r="J22" s="337"/>
    </row>
    <row r="23" spans="1:10" s="342" customFormat="1" ht="12" customHeight="1" x14ac:dyDescent="0.2">
      <c r="A23" s="541" t="s">
        <v>294</v>
      </c>
      <c r="B23" s="539"/>
      <c r="C23" s="539"/>
      <c r="D23" s="539"/>
      <c r="E23" s="539"/>
      <c r="F23" s="539"/>
      <c r="G23" s="539"/>
      <c r="H23" s="539"/>
      <c r="I23" s="539"/>
      <c r="J23" s="337"/>
    </row>
    <row r="24" spans="1:10" s="342" customFormat="1" ht="12" customHeight="1" x14ac:dyDescent="0.2">
      <c r="A24" s="538" t="s">
        <v>299</v>
      </c>
      <c r="B24" s="539"/>
      <c r="C24" s="539"/>
      <c r="D24" s="539"/>
      <c r="E24" s="539"/>
      <c r="F24" s="539"/>
      <c r="G24" s="539"/>
      <c r="H24" s="539"/>
      <c r="I24" s="539"/>
      <c r="J24" s="337"/>
    </row>
    <row r="25" spans="1:10" s="342" customFormat="1" ht="12" customHeight="1" x14ac:dyDescent="0.2">
      <c r="A25" s="538" t="s">
        <v>303</v>
      </c>
      <c r="B25" s="539"/>
      <c r="C25" s="539"/>
      <c r="D25" s="539"/>
      <c r="E25" s="539"/>
      <c r="F25" s="539"/>
      <c r="G25" s="539"/>
      <c r="H25" s="539"/>
      <c r="I25" s="539"/>
      <c r="J25" s="337"/>
    </row>
    <row r="26" spans="1:10" s="342" customFormat="1" ht="12" customHeight="1" thickBot="1" x14ac:dyDescent="0.25">
      <c r="A26" s="548" t="s">
        <v>304</v>
      </c>
      <c r="B26" s="549"/>
      <c r="C26" s="549"/>
      <c r="D26" s="549"/>
      <c r="E26" s="549"/>
      <c r="F26" s="549"/>
      <c r="G26" s="549"/>
      <c r="H26" s="549"/>
      <c r="I26" s="549"/>
      <c r="J26" s="344"/>
    </row>
    <row r="27" spans="1:10" ht="6.75" customHeight="1" x14ac:dyDescent="0.2"/>
    <row r="28" spans="1:10" ht="15" customHeight="1" x14ac:dyDescent="0.2"/>
    <row r="29" spans="1:10" ht="15" customHeight="1" x14ac:dyDescent="0.25">
      <c r="A29" s="345" t="s">
        <v>305</v>
      </c>
    </row>
    <row r="30" spans="1:10" ht="15" customHeight="1" x14ac:dyDescent="0.2">
      <c r="A30" s="91" t="s">
        <v>168</v>
      </c>
      <c r="B30" s="330"/>
      <c r="C30" s="550">
        <f>'Eingabe und Berechnungen TS,DB'!C7:I7</f>
        <v>0</v>
      </c>
      <c r="D30" s="550"/>
      <c r="E30" s="550"/>
      <c r="F30" s="550"/>
      <c r="G30" s="550"/>
      <c r="H30" s="550"/>
      <c r="I30" s="550"/>
      <c r="J30" s="551"/>
    </row>
    <row r="31" spans="1:10" ht="15" customHeight="1" x14ac:dyDescent="0.2">
      <c r="A31" s="93" t="s">
        <v>132</v>
      </c>
      <c r="B31" s="331"/>
      <c r="C31" s="550">
        <f>'Eingabe und Berechnungen TS,DB'!C8:I8</f>
        <v>0</v>
      </c>
      <c r="D31" s="550"/>
      <c r="E31" s="550"/>
      <c r="F31" s="550"/>
      <c r="G31" s="550"/>
      <c r="H31" s="550"/>
      <c r="I31" s="550"/>
      <c r="J31" s="551"/>
    </row>
    <row r="32" spans="1:10" ht="5.25" customHeight="1" x14ac:dyDescent="0.2">
      <c r="C32" s="72"/>
      <c r="D32" s="72"/>
      <c r="E32" s="72"/>
      <c r="F32" s="72"/>
      <c r="G32" s="72"/>
      <c r="H32" s="72"/>
      <c r="I32" s="72"/>
      <c r="J32" s="72"/>
    </row>
    <row r="33" spans="1:10" ht="15" customHeight="1" x14ac:dyDescent="0.25">
      <c r="A33" s="4" t="s">
        <v>306</v>
      </c>
      <c r="C33" s="72"/>
      <c r="D33" s="72"/>
      <c r="E33" s="72"/>
      <c r="F33" s="72"/>
      <c r="G33" s="72"/>
      <c r="H33" s="72"/>
      <c r="I33" s="72"/>
      <c r="J33" s="72"/>
    </row>
    <row r="34" spans="1:10" ht="15" customHeight="1" x14ac:dyDescent="0.2">
      <c r="A34" s="552" t="s">
        <v>51</v>
      </c>
      <c r="B34" s="553"/>
      <c r="C34" s="554">
        <f>'Eingabe und Berechnungen TS,DB'!A170</f>
        <v>0</v>
      </c>
      <c r="D34" s="554"/>
      <c r="E34" s="368"/>
      <c r="F34" s="72"/>
      <c r="G34" s="72"/>
      <c r="H34" s="72"/>
      <c r="I34" s="72"/>
      <c r="J34" s="72"/>
    </row>
    <row r="35" spans="1:10" ht="15" customHeight="1" x14ac:dyDescent="0.2">
      <c r="A35" s="552" t="s">
        <v>193</v>
      </c>
      <c r="B35" s="553"/>
      <c r="C35" s="554">
        <f>'Eingabe und Berechnungen TS,DB'!E170</f>
        <v>0</v>
      </c>
      <c r="D35" s="554"/>
      <c r="E35" s="285"/>
      <c r="F35" s="72"/>
      <c r="G35" s="72"/>
      <c r="H35" s="72"/>
      <c r="I35" s="72"/>
      <c r="J35" s="72"/>
    </row>
    <row r="36" spans="1:10" ht="15" customHeight="1" x14ac:dyDescent="0.2">
      <c r="A36" s="552" t="s">
        <v>45</v>
      </c>
      <c r="B36" s="553"/>
      <c r="C36" s="555" t="e">
        <f>'Eingabe und Berechnungen TS,DB'!F176</f>
        <v>#DIV/0!</v>
      </c>
      <c r="D36" s="555"/>
      <c r="E36" s="72"/>
      <c r="F36" s="72"/>
      <c r="G36" s="72"/>
      <c r="H36" s="72"/>
      <c r="I36" s="72"/>
      <c r="J36" s="72"/>
    </row>
    <row r="37" spans="1:10" ht="8.25" customHeight="1" x14ac:dyDescent="0.2"/>
    <row r="38" spans="1:10" ht="15" customHeight="1" x14ac:dyDescent="0.2">
      <c r="B38" s="256"/>
      <c r="C38" s="256"/>
      <c r="D38" s="556" t="s">
        <v>307</v>
      </c>
      <c r="E38" s="557"/>
      <c r="F38" s="558"/>
      <c r="G38" s="256"/>
      <c r="H38" s="256"/>
      <c r="I38" s="256"/>
      <c r="J38" s="256"/>
    </row>
    <row r="39" spans="1:10" x14ac:dyDescent="0.2">
      <c r="B39" s="256"/>
      <c r="C39" s="256"/>
      <c r="D39" s="346" t="s">
        <v>336</v>
      </c>
      <c r="E39" s="346" t="s">
        <v>337</v>
      </c>
      <c r="F39" s="346" t="s">
        <v>338</v>
      </c>
      <c r="G39" s="256"/>
      <c r="H39" s="256"/>
      <c r="I39" s="256"/>
      <c r="J39" s="256"/>
    </row>
    <row r="40" spans="1:10" ht="14.25" customHeight="1" x14ac:dyDescent="0.2">
      <c r="A40" s="574" t="s">
        <v>308</v>
      </c>
      <c r="B40" s="575"/>
      <c r="C40" s="576" t="s">
        <v>309</v>
      </c>
      <c r="D40" s="568" t="s">
        <v>310</v>
      </c>
      <c r="E40" s="568"/>
      <c r="F40" s="568"/>
      <c r="G40" s="561" t="s">
        <v>333</v>
      </c>
      <c r="H40" s="561" t="s">
        <v>334</v>
      </c>
      <c r="I40" s="569" t="s">
        <v>335</v>
      </c>
      <c r="J40" s="569" t="s">
        <v>341</v>
      </c>
    </row>
    <row r="41" spans="1:10" x14ac:dyDescent="0.2">
      <c r="A41" s="575"/>
      <c r="B41" s="575"/>
      <c r="C41" s="577"/>
      <c r="D41" s="347">
        <v>1</v>
      </c>
      <c r="E41" s="348">
        <v>0.5</v>
      </c>
      <c r="F41" s="349">
        <v>0</v>
      </c>
      <c r="G41" s="562"/>
      <c r="H41" s="562"/>
      <c r="I41" s="570"/>
      <c r="J41" s="570"/>
    </row>
    <row r="42" spans="1:10" ht="31.5" customHeight="1" x14ac:dyDescent="0.2">
      <c r="A42" s="540" t="s">
        <v>311</v>
      </c>
      <c r="B42" s="540"/>
      <c r="C42" s="350">
        <v>20</v>
      </c>
      <c r="D42" s="351" t="s">
        <v>312</v>
      </c>
      <c r="E42" s="352" t="s">
        <v>313</v>
      </c>
      <c r="F42" s="352" t="s">
        <v>314</v>
      </c>
      <c r="G42" s="370" t="e">
        <f>C35/C34</f>
        <v>#DIV/0!</v>
      </c>
      <c r="H42" s="353"/>
      <c r="I42" s="354" t="str">
        <f>IF(H42="","",IF(H42="x",C42*$D$41,IF(H42="y",C42*$E$41,IF(H42="z",C42*$F$41,"Fehler"))))</f>
        <v/>
      </c>
      <c r="J42" s="355"/>
    </row>
    <row r="43" spans="1:10" ht="32.25" customHeight="1" x14ac:dyDescent="0.2">
      <c r="A43" s="571" t="s">
        <v>315</v>
      </c>
      <c r="B43" s="572"/>
      <c r="C43" s="350">
        <v>20</v>
      </c>
      <c r="D43" s="356" t="s">
        <v>316</v>
      </c>
      <c r="E43" s="357" t="s">
        <v>317</v>
      </c>
      <c r="F43" s="357" t="s">
        <v>318</v>
      </c>
      <c r="G43" s="371">
        <f>C35-C34</f>
        <v>0</v>
      </c>
      <c r="H43" s="353"/>
      <c r="I43" s="354" t="str">
        <f t="shared" ref="I43:I50" si="0">IF(H43="","",IF(H43="x",C43*$D$41,IF(H43="y",C43*$E$41,IF(H43="z",C43*$F$41,"Fehler"))))</f>
        <v/>
      </c>
      <c r="J43" s="355"/>
    </row>
    <row r="44" spans="1:10" ht="28.5" customHeight="1" x14ac:dyDescent="0.2">
      <c r="A44" s="573" t="s">
        <v>319</v>
      </c>
      <c r="B44" s="573"/>
      <c r="C44" s="350">
        <v>20</v>
      </c>
      <c r="D44" s="352" t="s">
        <v>320</v>
      </c>
      <c r="E44" s="352" t="s">
        <v>321</v>
      </c>
      <c r="F44" s="352" t="s">
        <v>322</v>
      </c>
      <c r="G44" s="372" t="e">
        <f>C36</f>
        <v>#DIV/0!</v>
      </c>
      <c r="H44" s="358"/>
      <c r="I44" s="354" t="str">
        <f t="shared" si="0"/>
        <v/>
      </c>
      <c r="J44" s="355"/>
    </row>
    <row r="45" spans="1:10" ht="32.25" customHeight="1" x14ac:dyDescent="0.2">
      <c r="A45" s="540" t="s">
        <v>359</v>
      </c>
      <c r="B45" s="540"/>
      <c r="C45" s="350">
        <v>20</v>
      </c>
      <c r="D45" s="351" t="s">
        <v>202</v>
      </c>
      <c r="E45" s="352"/>
      <c r="F45" s="352" t="s">
        <v>192</v>
      </c>
      <c r="G45" s="353"/>
      <c r="H45" s="353"/>
      <c r="I45" s="354" t="str">
        <f t="shared" si="0"/>
        <v/>
      </c>
      <c r="J45" s="355"/>
    </row>
    <row r="46" spans="1:10" ht="43.5" customHeight="1" x14ac:dyDescent="0.2">
      <c r="A46" s="540" t="s">
        <v>357</v>
      </c>
      <c r="B46" s="540"/>
      <c r="C46" s="350">
        <v>10</v>
      </c>
      <c r="D46" s="357" t="s">
        <v>356</v>
      </c>
      <c r="E46" s="357" t="s">
        <v>355</v>
      </c>
      <c r="F46" s="357" t="s">
        <v>354</v>
      </c>
      <c r="G46" s="353"/>
      <c r="H46" s="353"/>
      <c r="I46" s="354" t="str">
        <f t="shared" si="0"/>
        <v/>
      </c>
      <c r="J46" s="355"/>
    </row>
    <row r="47" spans="1:10" ht="42" customHeight="1" x14ac:dyDescent="0.2">
      <c r="A47" s="563" t="s">
        <v>323</v>
      </c>
      <c r="B47" s="563"/>
      <c r="C47" s="350"/>
      <c r="D47" s="357" t="s">
        <v>324</v>
      </c>
      <c r="E47" s="357" t="s">
        <v>325</v>
      </c>
      <c r="F47" s="357" t="s">
        <v>326</v>
      </c>
      <c r="G47" s="353"/>
      <c r="H47" s="353"/>
      <c r="I47" s="354" t="str">
        <f t="shared" si="0"/>
        <v/>
      </c>
      <c r="J47" s="359"/>
    </row>
    <row r="48" spans="1:10" ht="42" customHeight="1" x14ac:dyDescent="0.2">
      <c r="A48" s="540" t="s">
        <v>327</v>
      </c>
      <c r="B48" s="540"/>
      <c r="C48" s="350">
        <v>20</v>
      </c>
      <c r="D48" s="360" t="s">
        <v>339</v>
      </c>
      <c r="E48" s="360" t="s">
        <v>325</v>
      </c>
      <c r="F48" s="360" t="s">
        <v>340</v>
      </c>
      <c r="G48" s="369"/>
      <c r="H48" s="353"/>
      <c r="I48" s="354" t="str">
        <f t="shared" si="0"/>
        <v/>
      </c>
      <c r="J48" s="359"/>
    </row>
    <row r="49" spans="1:10" ht="42" customHeight="1" x14ac:dyDescent="0.2">
      <c r="A49" s="540" t="s">
        <v>358</v>
      </c>
      <c r="B49" s="540"/>
      <c r="C49" s="350">
        <v>10</v>
      </c>
      <c r="D49" s="360" t="s">
        <v>202</v>
      </c>
      <c r="E49" s="360"/>
      <c r="F49" s="360" t="s">
        <v>192</v>
      </c>
      <c r="G49" s="369"/>
      <c r="H49" s="353"/>
      <c r="I49" s="354"/>
      <c r="J49" s="359"/>
    </row>
    <row r="50" spans="1:10" ht="42" customHeight="1" thickBot="1" x14ac:dyDescent="0.25">
      <c r="A50" s="563" t="s">
        <v>328</v>
      </c>
      <c r="B50" s="563"/>
      <c r="C50" s="350"/>
      <c r="D50" s="351" t="s">
        <v>329</v>
      </c>
      <c r="E50" s="351" t="s">
        <v>330</v>
      </c>
      <c r="F50" s="351" t="s">
        <v>331</v>
      </c>
      <c r="G50" s="353"/>
      <c r="H50" s="353"/>
      <c r="I50" s="354" t="str">
        <f t="shared" si="0"/>
        <v/>
      </c>
      <c r="J50" s="361"/>
    </row>
    <row r="51" spans="1:10" ht="15" thickBot="1" x14ac:dyDescent="0.25">
      <c r="A51" s="564" t="s">
        <v>332</v>
      </c>
      <c r="B51" s="564"/>
      <c r="C51" s="362">
        <f>SUM(C42:C50)</f>
        <v>120</v>
      </c>
      <c r="D51" s="363"/>
      <c r="E51" s="363"/>
      <c r="F51" s="363"/>
      <c r="G51" s="363"/>
      <c r="H51" s="363"/>
      <c r="I51" s="364">
        <f>SUM(I42:I50)</f>
        <v>0</v>
      </c>
      <c r="J51" s="365"/>
    </row>
    <row r="52" spans="1:10" ht="5.0999999999999996" customHeight="1" thickBot="1" x14ac:dyDescent="0.25">
      <c r="B52" s="366"/>
      <c r="C52" s="367"/>
    </row>
    <row r="53" spans="1:10" s="256" customFormat="1" ht="16.5" customHeight="1" thickBot="1" x14ac:dyDescent="0.25">
      <c r="A53" s="373">
        <f>C51/2+5</f>
        <v>65</v>
      </c>
      <c r="B53" s="565" t="s">
        <v>353</v>
      </c>
      <c r="C53" s="566"/>
      <c r="D53" s="566"/>
      <c r="E53" s="566"/>
      <c r="F53" s="566"/>
      <c r="G53" s="566"/>
      <c r="H53" s="566"/>
      <c r="I53" s="566"/>
      <c r="J53" s="567"/>
    </row>
    <row r="54" spans="1:10" ht="12" customHeight="1" x14ac:dyDescent="0.2">
      <c r="A54" s="256"/>
      <c r="B54" s="366"/>
      <c r="C54" s="256"/>
      <c r="D54" s="256"/>
      <c r="E54" s="256"/>
      <c r="F54" s="256"/>
      <c r="G54" s="256"/>
      <c r="H54" s="256"/>
      <c r="I54" s="256"/>
      <c r="J54" s="256"/>
    </row>
    <row r="55" spans="1:10" ht="10.5" customHeight="1" x14ac:dyDescent="0.2">
      <c r="A55" s="256" t="s">
        <v>138</v>
      </c>
      <c r="B55" s="366"/>
      <c r="C55" s="559">
        <f>'Eingabe und Berechnungen TS,DB'!C183:E183</f>
        <v>0</v>
      </c>
      <c r="D55" s="560"/>
      <c r="E55" s="560"/>
      <c r="F55" s="256"/>
      <c r="G55" s="256"/>
      <c r="H55" s="256"/>
      <c r="I55" s="256"/>
      <c r="J55" s="256"/>
    </row>
    <row r="56" spans="1:10" x14ac:dyDescent="0.2">
      <c r="B56" s="366"/>
    </row>
    <row r="57" spans="1:10" x14ac:dyDescent="0.2">
      <c r="B57" s="366"/>
    </row>
    <row r="58" spans="1:10" x14ac:dyDescent="0.2">
      <c r="B58" s="366"/>
    </row>
  </sheetData>
  <sheetProtection algorithmName="SHA-512" hashValue="hqTSd26t9dU28yGmCNTOH8fFDhR1absp3vhfRjim/uCPB+7UiMFFlegUX2bVleSJn1UTc9PGTEoPvO9TsvTErQ==" saltValue="gf7zqbuB507K/M31Swteag==" spinCount="100000" sheet="1" objects="1" scenarios="1"/>
  <mergeCells count="43">
    <mergeCell ref="A42:B42"/>
    <mergeCell ref="A43:B43"/>
    <mergeCell ref="A44:B44"/>
    <mergeCell ref="A40:B41"/>
    <mergeCell ref="C40:C41"/>
    <mergeCell ref="A36:B36"/>
    <mergeCell ref="C36:D36"/>
    <mergeCell ref="D38:F38"/>
    <mergeCell ref="C55:E55"/>
    <mergeCell ref="H40:H41"/>
    <mergeCell ref="A45:B45"/>
    <mergeCell ref="A47:B47"/>
    <mergeCell ref="A48:B48"/>
    <mergeCell ref="A50:B50"/>
    <mergeCell ref="A51:B51"/>
    <mergeCell ref="G40:G41"/>
    <mergeCell ref="A46:B46"/>
    <mergeCell ref="B53:J53"/>
    <mergeCell ref="D40:F40"/>
    <mergeCell ref="I40:I41"/>
    <mergeCell ref="J40:J41"/>
    <mergeCell ref="C30:J30"/>
    <mergeCell ref="C31:J31"/>
    <mergeCell ref="A34:B34"/>
    <mergeCell ref="C34:D34"/>
    <mergeCell ref="A35:B35"/>
    <mergeCell ref="C35:D35"/>
    <mergeCell ref="A24:I24"/>
    <mergeCell ref="A25:I25"/>
    <mergeCell ref="A49:B49"/>
    <mergeCell ref="A23:I23"/>
    <mergeCell ref="A5:J5"/>
    <mergeCell ref="A7:J7"/>
    <mergeCell ref="A10:J10"/>
    <mergeCell ref="A13:I13"/>
    <mergeCell ref="A14:I14"/>
    <mergeCell ref="A15:I15"/>
    <mergeCell ref="A16:I16"/>
    <mergeCell ref="A18:I18"/>
    <mergeCell ref="A19:I19"/>
    <mergeCell ref="A20:I20"/>
    <mergeCell ref="A21:I21"/>
    <mergeCell ref="A26:I26"/>
  </mergeCells>
  <pageMargins left="0.7" right="0.7" top="0.78740157499999996" bottom="0.78740157499999996" header="0.3" footer="0.3"/>
  <pageSetup paperSize="9" scale="75" orientation="landscape" r:id="rId1"/>
  <rowBreaks count="1" manualBreakCount="1">
    <brk id="28" max="16383" man="1"/>
  </rowBreaks>
  <drawing r:id="rId2"/>
  <legacyDrawing r:id="rId3"/>
  <oleObjects>
    <mc:AlternateContent xmlns:mc="http://schemas.openxmlformats.org/markup-compatibility/2006">
      <mc:Choice Requires="x14">
        <oleObject progId="Word.Picture.8" shapeId="34817" r:id="rId4">
          <objectPr defaultSize="0" autoPict="0" r:id="rId5">
            <anchor moveWithCells="1" sizeWithCells="1">
              <from>
                <xdr:col>0</xdr:col>
                <xdr:colOff>57150</xdr:colOff>
                <xdr:row>0</xdr:row>
                <xdr:rowOff>47625</xdr:rowOff>
              </from>
              <to>
                <xdr:col>1</xdr:col>
                <xdr:colOff>390525</xdr:colOff>
                <xdr:row>4</xdr:row>
                <xdr:rowOff>0</xdr:rowOff>
              </to>
            </anchor>
          </objectPr>
        </oleObject>
      </mc:Choice>
      <mc:Fallback>
        <oleObject progId="Word.Picture.8" shapeId="3481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T182"/>
  <sheetViews>
    <sheetView topLeftCell="A13" zoomScaleNormal="100" workbookViewId="0">
      <pane ySplit="1200" activePane="bottomLeft"/>
      <selection activeCell="D59" sqref="D59"/>
      <selection pane="bottomLeft" activeCell="T86" sqref="T86"/>
    </sheetView>
  </sheetViews>
  <sheetFormatPr baseColWidth="10" defaultRowHeight="14.25" x14ac:dyDescent="0.2"/>
  <cols>
    <col min="1" max="1" width="22.75" customWidth="1"/>
    <col min="2" max="2" width="34.5" customWidth="1"/>
    <col min="3" max="3" width="12.125" customWidth="1"/>
    <col min="5" max="5" width="3" customWidth="1"/>
    <col min="6" max="6" width="11.5" customWidth="1"/>
  </cols>
  <sheetData>
    <row r="1" spans="1:7" ht="20.25" x14ac:dyDescent="0.3">
      <c r="A1" s="43" t="s">
        <v>57</v>
      </c>
      <c r="E1" s="21"/>
    </row>
    <row r="2" spans="1:7" ht="5.25" customHeight="1" x14ac:dyDescent="0.25">
      <c r="E2" s="21"/>
    </row>
    <row r="3" spans="1:7" ht="15" customHeight="1" x14ac:dyDescent="0.25">
      <c r="A3" s="9" t="s">
        <v>6</v>
      </c>
      <c r="B3" s="4" t="s">
        <v>7</v>
      </c>
      <c r="C3" s="4"/>
      <c r="D3" s="580" t="s">
        <v>56</v>
      </c>
      <c r="E3" s="581"/>
      <c r="F3" s="581"/>
      <c r="G3" s="37"/>
    </row>
    <row r="4" spans="1:7" x14ac:dyDescent="0.2">
      <c r="A4" s="27">
        <v>31</v>
      </c>
      <c r="B4" s="3" t="s">
        <v>52</v>
      </c>
      <c r="C4" s="40"/>
      <c r="D4" s="40"/>
      <c r="E4" s="41"/>
      <c r="F4" s="42">
        <v>140</v>
      </c>
    </row>
    <row r="5" spans="1:7" x14ac:dyDescent="0.2">
      <c r="A5" s="27">
        <v>31</v>
      </c>
      <c r="B5" s="3" t="s">
        <v>53</v>
      </c>
      <c r="C5" s="39"/>
      <c r="D5" s="39"/>
      <c r="E5" s="16"/>
      <c r="F5" s="2">
        <v>110</v>
      </c>
    </row>
    <row r="6" spans="1:7" x14ac:dyDescent="0.2">
      <c r="A6" s="27">
        <v>31</v>
      </c>
      <c r="B6" s="3" t="s">
        <v>54</v>
      </c>
      <c r="C6" s="39"/>
      <c r="D6" s="39"/>
      <c r="E6" s="16"/>
      <c r="F6" s="2">
        <v>55</v>
      </c>
    </row>
    <row r="7" spans="1:7" x14ac:dyDescent="0.2">
      <c r="A7" s="8"/>
    </row>
    <row r="8" spans="1:7" x14ac:dyDescent="0.2">
      <c r="A8" s="27">
        <v>41</v>
      </c>
      <c r="B8" s="3" t="s">
        <v>52</v>
      </c>
      <c r="C8" s="39"/>
      <c r="D8" s="39"/>
      <c r="E8" s="16"/>
      <c r="F8" s="2">
        <v>120</v>
      </c>
    </row>
    <row r="9" spans="1:7" x14ac:dyDescent="0.2">
      <c r="A9" s="27">
        <v>41</v>
      </c>
      <c r="B9" s="3" t="s">
        <v>53</v>
      </c>
      <c r="C9" s="39"/>
      <c r="D9" s="39"/>
      <c r="E9" s="16"/>
      <c r="F9" s="2">
        <v>100</v>
      </c>
    </row>
    <row r="10" spans="1:7" x14ac:dyDescent="0.2">
      <c r="A10" s="27">
        <v>41</v>
      </c>
      <c r="B10" s="3" t="s">
        <v>54</v>
      </c>
      <c r="C10" s="39"/>
      <c r="D10" s="39"/>
      <c r="E10" s="16"/>
      <c r="F10" s="2">
        <v>50</v>
      </c>
    </row>
    <row r="11" spans="1:7" x14ac:dyDescent="0.2">
      <c r="A11" s="8"/>
    </row>
    <row r="12" spans="1:7" x14ac:dyDescent="0.2">
      <c r="A12" s="27">
        <v>51</v>
      </c>
      <c r="B12" s="3" t="s">
        <v>52</v>
      </c>
      <c r="C12" s="39"/>
      <c r="D12" s="39"/>
      <c r="E12" s="16"/>
      <c r="F12" s="2">
        <v>110</v>
      </c>
    </row>
    <row r="13" spans="1:7" x14ac:dyDescent="0.2">
      <c r="A13" s="27">
        <v>51</v>
      </c>
      <c r="B13" s="3" t="s">
        <v>53</v>
      </c>
      <c r="C13" s="39"/>
      <c r="D13" s="39"/>
      <c r="E13" s="16"/>
      <c r="F13" s="2">
        <v>90</v>
      </c>
    </row>
    <row r="14" spans="1:7" x14ac:dyDescent="0.2">
      <c r="A14" s="27">
        <v>51</v>
      </c>
      <c r="B14" s="3" t="s">
        <v>54</v>
      </c>
      <c r="C14" s="39"/>
      <c r="D14" s="39"/>
      <c r="E14" s="16"/>
      <c r="F14" s="2">
        <v>45</v>
      </c>
    </row>
    <row r="15" spans="1:7" x14ac:dyDescent="0.2">
      <c r="A15" s="8"/>
    </row>
    <row r="16" spans="1:7" x14ac:dyDescent="0.2">
      <c r="A16" s="27">
        <v>52</v>
      </c>
      <c r="B16" s="3" t="s">
        <v>52</v>
      </c>
      <c r="C16" s="39"/>
      <c r="D16" s="39"/>
      <c r="E16" s="16"/>
      <c r="F16" s="2">
        <v>100</v>
      </c>
    </row>
    <row r="17" spans="1:19" x14ac:dyDescent="0.2">
      <c r="A17" s="27">
        <v>52</v>
      </c>
      <c r="B17" s="3" t="s">
        <v>53</v>
      </c>
      <c r="C17" s="39"/>
      <c r="D17" s="39"/>
      <c r="E17" s="16"/>
      <c r="F17" s="2">
        <v>80</v>
      </c>
    </row>
    <row r="18" spans="1:19" x14ac:dyDescent="0.2">
      <c r="A18" s="8"/>
    </row>
    <row r="19" spans="1:19" x14ac:dyDescent="0.2">
      <c r="A19" s="27">
        <v>53</v>
      </c>
      <c r="B19" s="3" t="s">
        <v>55</v>
      </c>
      <c r="C19" s="39"/>
      <c r="D19" s="39"/>
      <c r="E19" s="16"/>
      <c r="F19" s="2">
        <v>70</v>
      </c>
    </row>
    <row r="20" spans="1:19" x14ac:dyDescent="0.2">
      <c r="A20" s="8"/>
    </row>
    <row r="21" spans="1:19" x14ac:dyDescent="0.2">
      <c r="A21" s="27">
        <v>54</v>
      </c>
      <c r="B21" s="3" t="s">
        <v>55</v>
      </c>
      <c r="C21" s="39"/>
      <c r="D21" s="39"/>
      <c r="E21" s="16"/>
      <c r="F21" s="2">
        <v>60</v>
      </c>
    </row>
    <row r="23" spans="1:19" ht="20.25" x14ac:dyDescent="0.3">
      <c r="A23" s="43" t="s">
        <v>58</v>
      </c>
    </row>
    <row r="24" spans="1:19" ht="15" x14ac:dyDescent="0.25">
      <c r="A24" s="4" t="s">
        <v>5</v>
      </c>
      <c r="D24" s="9" t="s">
        <v>37</v>
      </c>
      <c r="E24" s="5"/>
      <c r="F24" s="11">
        <v>2010</v>
      </c>
      <c r="G24" s="11">
        <v>2011</v>
      </c>
      <c r="H24" s="12">
        <v>2012</v>
      </c>
      <c r="I24" s="12">
        <v>2013</v>
      </c>
      <c r="J24" s="12">
        <v>2014</v>
      </c>
      <c r="K24" s="12">
        <v>2015</v>
      </c>
      <c r="L24" s="12">
        <v>2017</v>
      </c>
      <c r="M24" s="12">
        <v>2018</v>
      </c>
      <c r="N24" s="12">
        <v>2019</v>
      </c>
      <c r="O24" s="379">
        <v>2020</v>
      </c>
      <c r="P24" s="427">
        <v>2021</v>
      </c>
      <c r="Q24" s="427">
        <v>2022</v>
      </c>
      <c r="R24" s="427">
        <v>2023</v>
      </c>
      <c r="S24" s="427">
        <v>2024</v>
      </c>
    </row>
    <row r="25" spans="1:19" x14ac:dyDescent="0.2">
      <c r="A25" s="3" t="s">
        <v>13</v>
      </c>
      <c r="B25" s="578" t="s">
        <v>149</v>
      </c>
      <c r="C25" s="579"/>
      <c r="D25" s="13">
        <f>AVERAGE(Q25:S25)</f>
        <v>3017</v>
      </c>
      <c r="E25" s="22"/>
      <c r="F25" s="14">
        <v>3054</v>
      </c>
      <c r="G25" s="14">
        <v>3007</v>
      </c>
      <c r="H25" s="15">
        <v>2936</v>
      </c>
      <c r="I25" s="15">
        <v>3023</v>
      </c>
      <c r="J25" s="15">
        <v>2651</v>
      </c>
      <c r="K25" s="179">
        <v>2652</v>
      </c>
      <c r="L25" s="179">
        <v>3373</v>
      </c>
      <c r="M25" s="381">
        <v>3114</v>
      </c>
      <c r="N25" s="382">
        <v>3067</v>
      </c>
      <c r="O25" s="3">
        <v>3080</v>
      </c>
      <c r="P25" s="3">
        <v>3041</v>
      </c>
      <c r="Q25" s="39">
        <v>2980</v>
      </c>
      <c r="R25" s="39">
        <v>3062</v>
      </c>
      <c r="S25" s="3">
        <v>3009</v>
      </c>
    </row>
    <row r="26" spans="1:19" x14ac:dyDescent="0.2">
      <c r="A26" s="3" t="s">
        <v>14</v>
      </c>
      <c r="B26" s="578" t="s">
        <v>149</v>
      </c>
      <c r="C26" s="579"/>
      <c r="D26" s="13">
        <f>AVERAGE(Q26:S26)</f>
        <v>2563.6666666666665</v>
      </c>
      <c r="E26" s="22"/>
      <c r="F26" s="14">
        <v>2643</v>
      </c>
      <c r="G26" s="14">
        <v>2588</v>
      </c>
      <c r="H26" s="15">
        <v>2559</v>
      </c>
      <c r="I26" s="15">
        <v>2629</v>
      </c>
      <c r="J26" s="15">
        <v>2258</v>
      </c>
      <c r="K26" s="179">
        <v>2258</v>
      </c>
      <c r="L26" s="179">
        <v>2913</v>
      </c>
      <c r="M26" s="381">
        <v>2682</v>
      </c>
      <c r="N26" s="382">
        <v>2649</v>
      </c>
      <c r="O26" s="3">
        <v>2668</v>
      </c>
      <c r="P26" s="3">
        <v>2627</v>
      </c>
      <c r="Q26" s="39">
        <v>2577</v>
      </c>
      <c r="R26" s="39">
        <v>2594</v>
      </c>
      <c r="S26" s="3">
        <v>2520</v>
      </c>
    </row>
    <row r="27" spans="1:19" x14ac:dyDescent="0.2">
      <c r="A27" s="3" t="s">
        <v>15</v>
      </c>
      <c r="B27" s="578" t="s">
        <v>149</v>
      </c>
      <c r="C27" s="579"/>
      <c r="D27" s="13">
        <f t="shared" ref="D27:D31" si="0">AVERAGE(Q27:S27)</f>
        <v>2415.3333333333335</v>
      </c>
      <c r="E27" s="22"/>
      <c r="F27" s="14">
        <v>2687</v>
      </c>
      <c r="G27" s="14">
        <v>2442</v>
      </c>
      <c r="H27" s="15">
        <v>2313</v>
      </c>
      <c r="I27" s="15">
        <v>2350</v>
      </c>
      <c r="J27" s="15">
        <v>2032</v>
      </c>
      <c r="K27" s="179">
        <v>2193</v>
      </c>
      <c r="L27" s="179">
        <v>2705</v>
      </c>
      <c r="M27" s="381">
        <v>2566</v>
      </c>
      <c r="N27" s="382">
        <v>2602</v>
      </c>
      <c r="O27" s="3">
        <v>2629</v>
      </c>
      <c r="P27" s="3">
        <v>2575</v>
      </c>
      <c r="Q27" s="39">
        <v>2568</v>
      </c>
      <c r="R27" s="39">
        <v>2443</v>
      </c>
      <c r="S27" s="3">
        <v>2235</v>
      </c>
    </row>
    <row r="28" spans="1:19" x14ac:dyDescent="0.2">
      <c r="A28" s="3" t="s">
        <v>16</v>
      </c>
      <c r="B28" s="578" t="s">
        <v>149</v>
      </c>
      <c r="C28" s="579"/>
      <c r="D28" s="13">
        <f t="shared" si="0"/>
        <v>2406.6666666666665</v>
      </c>
      <c r="E28" s="22"/>
      <c r="F28" s="14">
        <v>2355</v>
      </c>
      <c r="G28" s="14">
        <v>2207</v>
      </c>
      <c r="H28" s="15">
        <v>2145</v>
      </c>
      <c r="I28" s="15">
        <v>2213</v>
      </c>
      <c r="J28" s="15">
        <v>1894</v>
      </c>
      <c r="K28" s="179">
        <f>(1905+2237)/2</f>
        <v>2071</v>
      </c>
      <c r="L28" s="179">
        <v>2779</v>
      </c>
      <c r="M28" s="383">
        <f>(2397+2790)/2</f>
        <v>2593.5</v>
      </c>
      <c r="N28" s="384">
        <f>(2366+2726)/2</f>
        <v>2546</v>
      </c>
      <c r="O28" s="3">
        <v>2520</v>
      </c>
      <c r="P28" s="3">
        <v>2518</v>
      </c>
      <c r="Q28" s="39">
        <v>2446</v>
      </c>
      <c r="R28" s="39">
        <v>2426</v>
      </c>
      <c r="S28" s="428">
        <v>2348</v>
      </c>
    </row>
    <row r="29" spans="1:19" x14ac:dyDescent="0.2">
      <c r="A29" s="3" t="s">
        <v>17</v>
      </c>
      <c r="B29" s="578" t="s">
        <v>149</v>
      </c>
      <c r="C29" s="579"/>
      <c r="D29" s="13">
        <f t="shared" si="0"/>
        <v>2293.6666666666665</v>
      </c>
      <c r="E29" s="22"/>
      <c r="F29" s="14">
        <v>2358</v>
      </c>
      <c r="G29" s="14">
        <v>2219</v>
      </c>
      <c r="H29" s="15">
        <v>2160</v>
      </c>
      <c r="I29" s="15">
        <v>2206</v>
      </c>
      <c r="J29" s="15">
        <v>1884</v>
      </c>
      <c r="K29" s="179">
        <v>1886</v>
      </c>
      <c r="L29" s="179">
        <v>2492</v>
      </c>
      <c r="M29" s="381">
        <v>2436</v>
      </c>
      <c r="N29" s="382">
        <v>2488</v>
      </c>
      <c r="O29" s="3">
        <v>2614</v>
      </c>
      <c r="P29" s="3">
        <v>2557</v>
      </c>
      <c r="Q29" s="39">
        <v>2538</v>
      </c>
      <c r="R29" s="39">
        <v>2326</v>
      </c>
      <c r="S29" s="3">
        <v>2017</v>
      </c>
    </row>
    <row r="30" spans="1:19" x14ac:dyDescent="0.2">
      <c r="A30" s="3" t="s">
        <v>18</v>
      </c>
      <c r="B30" s="578" t="s">
        <v>149</v>
      </c>
      <c r="C30" s="579"/>
      <c r="D30" s="13">
        <f t="shared" si="0"/>
        <v>2414.3333333333335</v>
      </c>
      <c r="E30" s="22"/>
      <c r="F30" s="14">
        <v>2137</v>
      </c>
      <c r="G30" s="14">
        <v>2134</v>
      </c>
      <c r="H30" s="15">
        <v>2068</v>
      </c>
      <c r="I30" s="15">
        <v>2126</v>
      </c>
      <c r="J30" s="15">
        <v>1807</v>
      </c>
      <c r="K30" s="179">
        <v>1800</v>
      </c>
      <c r="L30" s="179">
        <v>2538</v>
      </c>
      <c r="M30" s="381">
        <v>2473</v>
      </c>
      <c r="N30" s="382">
        <v>2580</v>
      </c>
      <c r="O30" s="3">
        <v>2744</v>
      </c>
      <c r="P30" s="3">
        <v>2699</v>
      </c>
      <c r="Q30" s="39">
        <v>2684</v>
      </c>
      <c r="R30" s="39">
        <v>2433</v>
      </c>
      <c r="S30" s="3">
        <v>2126</v>
      </c>
    </row>
    <row r="31" spans="1:19" x14ac:dyDescent="0.2">
      <c r="A31" s="3" t="s">
        <v>19</v>
      </c>
      <c r="B31" s="578" t="s">
        <v>149</v>
      </c>
      <c r="C31" s="579"/>
      <c r="D31" s="13">
        <f t="shared" si="0"/>
        <v>1788.6666666666667</v>
      </c>
      <c r="E31" s="22"/>
      <c r="F31" s="14">
        <v>1774</v>
      </c>
      <c r="G31" s="14">
        <v>1665</v>
      </c>
      <c r="H31" s="15">
        <v>1641</v>
      </c>
      <c r="I31" s="15">
        <v>1679</v>
      </c>
      <c r="J31" s="15">
        <v>1355</v>
      </c>
      <c r="K31" s="179">
        <v>1383</v>
      </c>
      <c r="L31" s="179">
        <v>1606</v>
      </c>
      <c r="M31" s="381">
        <v>1560</v>
      </c>
      <c r="N31" s="382">
        <v>1712</v>
      </c>
      <c r="O31" s="3">
        <v>2103</v>
      </c>
      <c r="P31" s="3">
        <v>2058</v>
      </c>
      <c r="Q31" s="39">
        <v>2030</v>
      </c>
      <c r="R31" s="39">
        <v>1807</v>
      </c>
      <c r="S31" s="3">
        <v>1529</v>
      </c>
    </row>
    <row r="32" spans="1:19" x14ac:dyDescent="0.2">
      <c r="A32" s="16"/>
      <c r="B32" s="17"/>
      <c r="C32" s="17"/>
      <c r="D32" s="13"/>
      <c r="E32" s="23"/>
      <c r="F32" s="19"/>
      <c r="G32" s="19"/>
      <c r="H32" s="20"/>
      <c r="I32" s="20"/>
      <c r="J32" s="20"/>
      <c r="M32" s="385"/>
      <c r="N32" s="385"/>
      <c r="O32" s="5"/>
      <c r="R32" s="39"/>
      <c r="S32" s="3"/>
    </row>
    <row r="33" spans="1:19" x14ac:dyDescent="0.2">
      <c r="A33" s="3" t="s">
        <v>20</v>
      </c>
      <c r="B33" s="578" t="s">
        <v>149</v>
      </c>
      <c r="C33" s="579"/>
      <c r="D33" s="13">
        <f>AVERAGE(Q33:S33)</f>
        <v>1913.3333333333333</v>
      </c>
      <c r="E33" s="22"/>
      <c r="F33" s="14">
        <v>2269</v>
      </c>
      <c r="G33" s="14">
        <v>2159</v>
      </c>
      <c r="H33" s="15">
        <v>2095</v>
      </c>
      <c r="I33" s="15">
        <v>2110</v>
      </c>
      <c r="J33" s="15">
        <v>1805</v>
      </c>
      <c r="K33" s="179">
        <v>1874</v>
      </c>
      <c r="L33" s="179">
        <v>2141</v>
      </c>
      <c r="M33" s="386">
        <v>2107</v>
      </c>
      <c r="N33" s="387">
        <v>2087</v>
      </c>
      <c r="O33" s="3">
        <v>2095</v>
      </c>
      <c r="P33" s="3">
        <v>2156</v>
      </c>
      <c r="Q33" s="39">
        <v>2114</v>
      </c>
      <c r="R33" s="39">
        <v>1857</v>
      </c>
      <c r="S33" s="3">
        <v>1769</v>
      </c>
    </row>
    <row r="34" spans="1:19" x14ac:dyDescent="0.2">
      <c r="A34" s="3" t="s">
        <v>21</v>
      </c>
      <c r="B34" s="578" t="s">
        <v>149</v>
      </c>
      <c r="C34" s="579"/>
      <c r="D34" s="13">
        <f>AVERAGE(Q34:S34)</f>
        <v>2049</v>
      </c>
      <c r="E34" s="22"/>
      <c r="F34" s="14">
        <v>2594</v>
      </c>
      <c r="G34" s="14">
        <v>2517</v>
      </c>
      <c r="H34" s="15">
        <v>2489</v>
      </c>
      <c r="I34" s="15">
        <v>2498</v>
      </c>
      <c r="J34" s="15">
        <v>1983</v>
      </c>
      <c r="K34" s="179">
        <v>2041</v>
      </c>
      <c r="L34" s="179">
        <v>2268</v>
      </c>
      <c r="M34" s="386">
        <v>2153</v>
      </c>
      <c r="N34" s="387">
        <v>2129</v>
      </c>
      <c r="O34" s="3">
        <v>2172</v>
      </c>
      <c r="P34" s="3">
        <v>2289</v>
      </c>
      <c r="Q34" s="39">
        <v>2266</v>
      </c>
      <c r="R34" s="39">
        <v>1998</v>
      </c>
      <c r="S34" s="3">
        <v>1883</v>
      </c>
    </row>
    <row r="35" spans="1:19" x14ac:dyDescent="0.2">
      <c r="A35" s="3" t="s">
        <v>22</v>
      </c>
      <c r="B35" s="578" t="s">
        <v>149</v>
      </c>
      <c r="C35" s="579"/>
      <c r="D35" s="13">
        <f>AVERAGE(Q35:S35)</f>
        <v>2970.3333333333335</v>
      </c>
      <c r="E35" s="22"/>
      <c r="F35" s="14">
        <v>3462</v>
      </c>
      <c r="G35" s="14">
        <v>3756</v>
      </c>
      <c r="H35" s="15">
        <v>3905</v>
      </c>
      <c r="I35" s="15">
        <v>3637</v>
      </c>
      <c r="J35" s="15">
        <v>2864</v>
      </c>
      <c r="K35" s="179">
        <v>2760</v>
      </c>
      <c r="L35" s="179">
        <v>3088</v>
      </c>
      <c r="M35" s="386">
        <v>3048</v>
      </c>
      <c r="N35" s="387">
        <v>2930</v>
      </c>
      <c r="O35" s="3">
        <v>2890</v>
      </c>
      <c r="P35" s="3">
        <v>2926</v>
      </c>
      <c r="Q35" s="39">
        <v>3144</v>
      </c>
      <c r="R35" s="39">
        <v>3375</v>
      </c>
      <c r="S35" s="3">
        <v>2392</v>
      </c>
    </row>
    <row r="36" spans="1:19" x14ac:dyDescent="0.2">
      <c r="A36" s="3" t="s">
        <v>23</v>
      </c>
      <c r="B36" s="578" t="s">
        <v>149</v>
      </c>
      <c r="C36" s="579"/>
      <c r="D36" s="13">
        <f>AVERAGE(Q36:S36)</f>
        <v>3393</v>
      </c>
      <c r="E36" s="22"/>
      <c r="F36" s="14">
        <v>3153</v>
      </c>
      <c r="G36" s="14">
        <v>3464</v>
      </c>
      <c r="H36" s="15">
        <v>3596</v>
      </c>
      <c r="I36" s="15">
        <v>3508</v>
      </c>
      <c r="J36" s="15">
        <v>2805</v>
      </c>
      <c r="K36" s="179">
        <v>2447</v>
      </c>
      <c r="L36" s="179">
        <v>3158</v>
      </c>
      <c r="M36" s="386">
        <v>3246</v>
      </c>
      <c r="N36" s="387">
        <v>3101</v>
      </c>
      <c r="O36" s="3">
        <v>3192</v>
      </c>
      <c r="P36" s="3">
        <v>3295</v>
      </c>
      <c r="Q36" s="39">
        <v>3482</v>
      </c>
      <c r="R36" s="39">
        <v>3806</v>
      </c>
      <c r="S36" s="3">
        <v>2891</v>
      </c>
    </row>
    <row r="37" spans="1:19" x14ac:dyDescent="0.2">
      <c r="A37" s="3" t="s">
        <v>24</v>
      </c>
      <c r="B37" s="578" t="s">
        <v>149</v>
      </c>
      <c r="C37" s="579"/>
      <c r="D37" s="13">
        <f>AVERAGE(Q37:S37)</f>
        <v>2143.3333333333335</v>
      </c>
      <c r="E37" s="22"/>
      <c r="F37" s="14">
        <v>2652</v>
      </c>
      <c r="G37" s="14">
        <v>2667</v>
      </c>
      <c r="H37" s="15">
        <v>2641</v>
      </c>
      <c r="I37" s="15">
        <v>2511</v>
      </c>
      <c r="J37" s="15">
        <v>2043</v>
      </c>
      <c r="K37" s="179">
        <v>2147</v>
      </c>
      <c r="L37" s="179">
        <v>2183</v>
      </c>
      <c r="M37" s="386">
        <v>2013</v>
      </c>
      <c r="N37" s="387">
        <v>1607</v>
      </c>
      <c r="O37" s="3">
        <v>1975</v>
      </c>
      <c r="P37" s="3">
        <v>2080</v>
      </c>
      <c r="Q37" s="39">
        <v>2369</v>
      </c>
      <c r="R37" s="39">
        <v>2265</v>
      </c>
      <c r="S37" s="3">
        <v>1796</v>
      </c>
    </row>
    <row r="38" spans="1:19" x14ac:dyDescent="0.2">
      <c r="A38" s="16"/>
      <c r="B38" s="17"/>
      <c r="C38" s="17"/>
      <c r="D38" s="13"/>
      <c r="E38" s="23"/>
      <c r="F38" s="19"/>
      <c r="G38" s="19"/>
      <c r="H38" s="20"/>
      <c r="I38" s="20"/>
      <c r="J38" s="20"/>
      <c r="M38" s="385"/>
      <c r="N38" s="385"/>
      <c r="R38" s="39"/>
      <c r="S38" s="3"/>
    </row>
    <row r="39" spans="1:19" x14ac:dyDescent="0.2">
      <c r="A39" s="3" t="s">
        <v>25</v>
      </c>
      <c r="B39" s="578" t="s">
        <v>149</v>
      </c>
      <c r="C39" s="579"/>
      <c r="D39" s="13">
        <f>AVERAGE(Q39:S39)</f>
        <v>2090.3333333333335</v>
      </c>
      <c r="E39" s="22"/>
      <c r="F39" s="14">
        <v>2741</v>
      </c>
      <c r="G39" s="14">
        <v>2905</v>
      </c>
      <c r="H39" s="15">
        <v>3063</v>
      </c>
      <c r="I39" s="15">
        <v>3076</v>
      </c>
      <c r="J39" s="15">
        <v>2794</v>
      </c>
      <c r="K39" s="179">
        <v>2780</v>
      </c>
      <c r="L39" s="179">
        <v>2423</v>
      </c>
      <c r="M39" s="386">
        <v>2375</v>
      </c>
      <c r="N39" s="387">
        <v>2340</v>
      </c>
      <c r="O39" s="3">
        <v>2319</v>
      </c>
      <c r="P39" s="3">
        <v>2509</v>
      </c>
      <c r="Q39" s="39">
        <v>2355</v>
      </c>
      <c r="R39" s="39">
        <v>2095</v>
      </c>
      <c r="S39" s="3">
        <v>1821</v>
      </c>
    </row>
    <row r="40" spans="1:19" x14ac:dyDescent="0.2">
      <c r="A40" s="3" t="s">
        <v>26</v>
      </c>
      <c r="B40" s="578" t="s">
        <v>33</v>
      </c>
      <c r="C40" s="579"/>
      <c r="D40" s="13">
        <f>AVERAGE(Q40:S40)</f>
        <v>2008</v>
      </c>
      <c r="E40" s="22"/>
      <c r="F40" s="14">
        <v>2668</v>
      </c>
      <c r="G40" s="14">
        <v>2703</v>
      </c>
      <c r="H40" s="15">
        <v>2666</v>
      </c>
      <c r="I40" s="15">
        <v>2697</v>
      </c>
      <c r="J40" s="15">
        <v>2401</v>
      </c>
      <c r="K40" s="179">
        <v>2443</v>
      </c>
      <c r="L40" s="179">
        <v>2386</v>
      </c>
      <c r="M40" s="386">
        <v>2353</v>
      </c>
      <c r="N40" s="387">
        <v>2425</v>
      </c>
      <c r="O40" s="3">
        <v>2419</v>
      </c>
      <c r="P40" s="3">
        <v>2447</v>
      </c>
      <c r="Q40" s="39">
        <v>2290</v>
      </c>
      <c r="R40" s="39">
        <v>1910</v>
      </c>
      <c r="S40" s="3">
        <v>1824</v>
      </c>
    </row>
    <row r="41" spans="1:19" x14ac:dyDescent="0.2">
      <c r="A41" s="3" t="s">
        <v>26</v>
      </c>
      <c r="B41" s="578" t="s">
        <v>156</v>
      </c>
      <c r="C41" s="579"/>
      <c r="D41" s="13">
        <f>AVERAGE(Q41:S41)</f>
        <v>-572.33333333333337</v>
      </c>
      <c r="E41" s="23"/>
      <c r="F41" s="14"/>
      <c r="G41" s="14"/>
      <c r="H41" s="15">
        <v>-93</v>
      </c>
      <c r="I41" s="15">
        <v>-124</v>
      </c>
      <c r="J41" s="15">
        <v>-172</v>
      </c>
      <c r="K41" s="179">
        <v>-130</v>
      </c>
      <c r="L41" s="179">
        <v>13</v>
      </c>
      <c r="M41" s="383">
        <v>-20</v>
      </c>
      <c r="N41" s="392">
        <v>61</v>
      </c>
      <c r="O41" s="3">
        <v>-67</v>
      </c>
      <c r="P41" s="3">
        <v>-39</v>
      </c>
      <c r="Q41" s="429">
        <v>-394</v>
      </c>
      <c r="R41" s="39">
        <v>-746</v>
      </c>
      <c r="S41" s="428">
        <v>-577</v>
      </c>
    </row>
    <row r="42" spans="1:19" x14ac:dyDescent="0.2">
      <c r="A42" s="16"/>
      <c r="B42" s="16"/>
      <c r="C42" s="16"/>
      <c r="D42" s="13"/>
      <c r="E42" s="23"/>
      <c r="F42" s="19"/>
      <c r="G42" s="19"/>
      <c r="H42" s="20"/>
      <c r="I42" s="20"/>
      <c r="J42" s="15"/>
      <c r="M42" s="385"/>
      <c r="N42" s="385"/>
      <c r="R42" s="39"/>
      <c r="S42" s="3"/>
    </row>
    <row r="43" spans="1:19" x14ac:dyDescent="0.2">
      <c r="A43" s="3" t="s">
        <v>27</v>
      </c>
      <c r="B43" s="578" t="s">
        <v>150</v>
      </c>
      <c r="C43" s="579"/>
      <c r="D43" s="13">
        <f>AVERAGE(Q43:S43)</f>
        <v>4387.333333333333</v>
      </c>
      <c r="E43" s="22"/>
      <c r="F43" s="14">
        <v>4584</v>
      </c>
      <c r="G43" s="14">
        <v>4606</v>
      </c>
      <c r="H43" s="15">
        <v>4590</v>
      </c>
      <c r="I43" s="15">
        <v>4707</v>
      </c>
      <c r="J43" s="15">
        <v>4460</v>
      </c>
      <c r="K43" s="179">
        <v>4222</v>
      </c>
      <c r="L43" s="179">
        <v>4037</v>
      </c>
      <c r="M43" s="386">
        <v>4159</v>
      </c>
      <c r="N43" s="387">
        <v>4301</v>
      </c>
      <c r="O43" s="3">
        <v>4665</v>
      </c>
      <c r="P43" s="3">
        <v>4331</v>
      </c>
      <c r="Q43" s="39">
        <v>4196</v>
      </c>
      <c r="R43" s="39">
        <v>4478</v>
      </c>
      <c r="S43" s="3">
        <v>4488</v>
      </c>
    </row>
    <row r="44" spans="1:19" x14ac:dyDescent="0.2">
      <c r="A44" s="3" t="s">
        <v>28</v>
      </c>
      <c r="B44" s="578" t="s">
        <v>150</v>
      </c>
      <c r="C44" s="579"/>
      <c r="D44" s="13">
        <f>AVERAGE(Q44:S44)</f>
        <v>4793</v>
      </c>
      <c r="E44" s="22"/>
      <c r="F44" s="14">
        <v>6931</v>
      </c>
      <c r="G44" s="14">
        <v>6865</v>
      </c>
      <c r="H44" s="15">
        <v>6977</v>
      </c>
      <c r="I44" s="15">
        <v>5842</v>
      </c>
      <c r="J44" s="15">
        <v>6357</v>
      </c>
      <c r="K44" s="179">
        <v>6527</v>
      </c>
      <c r="L44" s="179">
        <v>4954</v>
      </c>
      <c r="M44" s="386">
        <v>5269</v>
      </c>
      <c r="N44" s="387">
        <v>5271</v>
      </c>
      <c r="O44" s="3">
        <v>5183</v>
      </c>
      <c r="P44" s="3">
        <v>4842</v>
      </c>
      <c r="Q44" s="39">
        <v>4410</v>
      </c>
      <c r="R44" s="39">
        <v>5143</v>
      </c>
      <c r="S44" s="3">
        <v>4826</v>
      </c>
    </row>
    <row r="45" spans="1:19" x14ac:dyDescent="0.2">
      <c r="A45" s="3" t="s">
        <v>29</v>
      </c>
      <c r="B45" s="578" t="s">
        <v>32</v>
      </c>
      <c r="C45" s="579"/>
      <c r="D45" s="13">
        <f>AVERAGE(Q45:S45)</f>
        <v>7527.666666666667</v>
      </c>
      <c r="E45" s="22"/>
      <c r="F45" s="14">
        <v>7975</v>
      </c>
      <c r="G45" s="14">
        <v>7975</v>
      </c>
      <c r="H45" s="15">
        <v>8172</v>
      </c>
      <c r="I45" s="15">
        <v>9274</v>
      </c>
      <c r="J45" s="15">
        <v>7550</v>
      </c>
      <c r="K45" s="179">
        <v>7836</v>
      </c>
      <c r="L45" s="179">
        <v>8250</v>
      </c>
      <c r="M45" s="386">
        <v>8303</v>
      </c>
      <c r="N45" s="387">
        <v>8452</v>
      </c>
      <c r="O45" s="3">
        <v>8258</v>
      </c>
      <c r="P45" s="3">
        <v>7079</v>
      </c>
      <c r="Q45" s="39">
        <v>7518</v>
      </c>
      <c r="R45" s="39">
        <v>8142</v>
      </c>
      <c r="S45" s="3">
        <v>6923</v>
      </c>
    </row>
    <row r="46" spans="1:19" x14ac:dyDescent="0.2">
      <c r="A46" s="16"/>
      <c r="B46" s="16"/>
      <c r="C46" s="16"/>
      <c r="D46" s="13"/>
      <c r="E46" s="23"/>
      <c r="F46" s="19"/>
      <c r="G46" s="19"/>
      <c r="H46" s="20"/>
      <c r="I46" s="20"/>
      <c r="J46" s="20"/>
      <c r="M46" s="385"/>
      <c r="N46" s="385"/>
      <c r="R46" s="39"/>
      <c r="S46" s="3"/>
    </row>
    <row r="47" spans="1:19" x14ac:dyDescent="0.2">
      <c r="A47" s="3" t="s">
        <v>30</v>
      </c>
      <c r="B47" s="578" t="s">
        <v>34</v>
      </c>
      <c r="C47" s="579"/>
      <c r="D47" s="13">
        <f>AVERAGE(Q47:S47)</f>
        <v>-939.33333333333337</v>
      </c>
      <c r="E47" s="22"/>
      <c r="F47" s="14">
        <v>-1020</v>
      </c>
      <c r="G47" s="14">
        <v>-1007</v>
      </c>
      <c r="H47" s="15">
        <v>-1067</v>
      </c>
      <c r="I47" s="15">
        <v>-895</v>
      </c>
      <c r="J47" s="15">
        <v>-856</v>
      </c>
      <c r="K47" s="179">
        <v>-762</v>
      </c>
      <c r="L47" s="179">
        <v>-275</v>
      </c>
      <c r="M47" s="386">
        <v>-248</v>
      </c>
      <c r="N47" s="387">
        <v>-263</v>
      </c>
      <c r="O47" s="3">
        <v>-299</v>
      </c>
      <c r="P47" s="56">
        <v>-254</v>
      </c>
      <c r="Q47" s="429">
        <v>-522</v>
      </c>
      <c r="R47" s="39">
        <v>-1251</v>
      </c>
      <c r="S47" s="3">
        <v>-1045</v>
      </c>
    </row>
    <row r="48" spans="1:19" x14ac:dyDescent="0.2">
      <c r="A48" s="3" t="s">
        <v>31</v>
      </c>
      <c r="B48" s="578" t="s">
        <v>34</v>
      </c>
      <c r="C48" s="579"/>
      <c r="D48" s="13">
        <f>AVERAGE(Q48:S48)</f>
        <v>-318</v>
      </c>
      <c r="E48" s="22"/>
      <c r="F48" s="14">
        <v>-128</v>
      </c>
      <c r="G48" s="14">
        <v>-133</v>
      </c>
      <c r="H48" s="15">
        <v>-182</v>
      </c>
      <c r="I48" s="15">
        <v>-53</v>
      </c>
      <c r="J48" s="15">
        <v>-14</v>
      </c>
      <c r="K48" s="179">
        <v>40</v>
      </c>
      <c r="L48" s="179">
        <v>286</v>
      </c>
      <c r="M48" s="386">
        <v>300</v>
      </c>
      <c r="N48" s="387">
        <v>288</v>
      </c>
      <c r="O48" s="3">
        <v>263</v>
      </c>
      <c r="P48" s="56">
        <v>269</v>
      </c>
      <c r="Q48" s="429">
        <v>75</v>
      </c>
      <c r="R48" s="39">
        <v>-594</v>
      </c>
      <c r="S48" s="3">
        <v>-435</v>
      </c>
    </row>
    <row r="49" spans="1:19" x14ac:dyDescent="0.2">
      <c r="A49" s="3" t="s">
        <v>31</v>
      </c>
      <c r="B49" s="578" t="s">
        <v>35</v>
      </c>
      <c r="C49" s="579"/>
      <c r="D49" s="13">
        <f>AVERAGE(Q49:S49)</f>
        <v>309.66666666666669</v>
      </c>
      <c r="E49" s="22"/>
      <c r="F49" s="14">
        <v>771</v>
      </c>
      <c r="G49" s="14">
        <v>818</v>
      </c>
      <c r="H49" s="15">
        <v>782</v>
      </c>
      <c r="I49" s="15">
        <v>836</v>
      </c>
      <c r="J49" s="15">
        <v>423</v>
      </c>
      <c r="K49" s="179">
        <v>449</v>
      </c>
      <c r="L49" s="179">
        <v>662</v>
      </c>
      <c r="M49" s="386">
        <v>670</v>
      </c>
      <c r="N49" s="387">
        <v>648</v>
      </c>
      <c r="O49" s="3">
        <v>629</v>
      </c>
      <c r="P49" s="56">
        <v>670</v>
      </c>
      <c r="Q49" s="74">
        <v>610</v>
      </c>
      <c r="R49" s="39">
        <v>223</v>
      </c>
      <c r="S49" s="3">
        <v>96</v>
      </c>
    </row>
    <row r="50" spans="1:19" x14ac:dyDescent="0.2">
      <c r="A50" s="3" t="s">
        <v>31</v>
      </c>
      <c r="B50" s="578" t="s">
        <v>36</v>
      </c>
      <c r="C50" s="579"/>
      <c r="D50" s="13">
        <f t="shared" ref="D50" si="1">AVERAGE(P50:R50)</f>
        <v>1934.6666666666667</v>
      </c>
      <c r="E50" s="22"/>
      <c r="F50" s="14">
        <v>2308</v>
      </c>
      <c r="G50" s="14">
        <v>2315</v>
      </c>
      <c r="H50" s="15">
        <v>2291</v>
      </c>
      <c r="I50" s="15">
        <v>2302</v>
      </c>
      <c r="J50" s="15">
        <v>1749</v>
      </c>
      <c r="K50" s="179">
        <v>1755</v>
      </c>
      <c r="L50" s="179">
        <v>1811</v>
      </c>
      <c r="M50" s="386">
        <v>1543</v>
      </c>
      <c r="N50" s="387">
        <v>1540</v>
      </c>
      <c r="O50" s="3">
        <v>1536</v>
      </c>
      <c r="P50" s="3">
        <v>1979</v>
      </c>
      <c r="Q50" s="39">
        <v>2094</v>
      </c>
      <c r="R50" s="39">
        <v>1731</v>
      </c>
      <c r="S50" s="3">
        <v>1428</v>
      </c>
    </row>
    <row r="51" spans="1:19" x14ac:dyDescent="0.2">
      <c r="A51" s="56" t="s">
        <v>68</v>
      </c>
      <c r="B51" s="578" t="s">
        <v>278</v>
      </c>
      <c r="C51" s="579"/>
      <c r="D51" s="13">
        <f>AVERAGE(Q51:S51)</f>
        <v>3187.6666666666665</v>
      </c>
      <c r="E51" s="23"/>
      <c r="F51" s="14"/>
      <c r="G51" s="14">
        <v>3825</v>
      </c>
      <c r="H51" s="15">
        <v>3783</v>
      </c>
      <c r="I51" s="15">
        <v>3822</v>
      </c>
      <c r="J51" s="15">
        <v>4417</v>
      </c>
      <c r="K51" s="179">
        <v>3118</v>
      </c>
      <c r="L51" s="179">
        <v>3047</v>
      </c>
      <c r="M51" s="386">
        <v>3065</v>
      </c>
      <c r="N51" s="387">
        <v>3092</v>
      </c>
      <c r="O51" s="3">
        <v>3070</v>
      </c>
      <c r="P51" s="3">
        <v>3039</v>
      </c>
      <c r="Q51" s="39">
        <v>3032</v>
      </c>
      <c r="R51" s="39">
        <v>3268</v>
      </c>
      <c r="S51" s="3">
        <v>3263</v>
      </c>
    </row>
    <row r="52" spans="1:19" x14ac:dyDescent="0.2">
      <c r="A52" s="56" t="s">
        <v>69</v>
      </c>
      <c r="B52" s="578" t="s">
        <v>279</v>
      </c>
      <c r="C52" s="579"/>
      <c r="D52" s="13">
        <f>AVERAGE(Q52:S52)</f>
        <v>2715.6666666666665</v>
      </c>
      <c r="E52" s="23"/>
      <c r="F52" s="14"/>
      <c r="G52" s="14">
        <v>2881</v>
      </c>
      <c r="H52" s="15">
        <v>2757</v>
      </c>
      <c r="I52" s="15">
        <v>2922</v>
      </c>
      <c r="J52" s="15">
        <v>3547</v>
      </c>
      <c r="K52" s="179">
        <v>2255</v>
      </c>
      <c r="L52" s="179">
        <v>2597</v>
      </c>
      <c r="M52" s="386">
        <v>2597</v>
      </c>
      <c r="N52" s="387">
        <v>2631</v>
      </c>
      <c r="O52" s="3">
        <v>2604</v>
      </c>
      <c r="P52" s="3">
        <v>2602</v>
      </c>
      <c r="Q52" s="39">
        <v>2582</v>
      </c>
      <c r="R52" s="39">
        <v>2785</v>
      </c>
      <c r="S52" s="3">
        <v>2780</v>
      </c>
    </row>
    <row r="53" spans="1:19" x14ac:dyDescent="0.2">
      <c r="A53" s="56" t="s">
        <v>70</v>
      </c>
      <c r="B53" s="578" t="s">
        <v>71</v>
      </c>
      <c r="C53" s="579"/>
      <c r="D53" s="13">
        <f>AVERAGE(Q53:S53)</f>
        <v>1845.3333333333333</v>
      </c>
      <c r="E53" s="23"/>
      <c r="F53" s="14"/>
      <c r="G53" s="14">
        <v>3250</v>
      </c>
      <c r="H53" s="15">
        <v>2944</v>
      </c>
      <c r="I53" s="15">
        <v>2941</v>
      </c>
      <c r="J53" s="15">
        <v>2435</v>
      </c>
      <c r="K53" s="179">
        <v>2441</v>
      </c>
      <c r="L53" s="179">
        <v>2353</v>
      </c>
      <c r="M53" s="386">
        <v>1812</v>
      </c>
      <c r="N53" s="387">
        <v>1809</v>
      </c>
      <c r="O53" s="3">
        <v>1813</v>
      </c>
      <c r="P53" s="3">
        <v>1817</v>
      </c>
      <c r="Q53" s="39">
        <v>1888</v>
      </c>
      <c r="R53" s="39">
        <v>1808</v>
      </c>
      <c r="S53" s="3">
        <v>1840</v>
      </c>
    </row>
    <row r="54" spans="1:19" x14ac:dyDescent="0.2">
      <c r="A54" s="55"/>
      <c r="B54" s="52"/>
      <c r="C54" s="52"/>
      <c r="D54" s="13"/>
      <c r="E54" s="23"/>
      <c r="F54" s="53"/>
      <c r="G54" s="53"/>
      <c r="H54" s="54"/>
      <c r="I54" s="54"/>
      <c r="J54" s="20"/>
      <c r="M54" s="385"/>
      <c r="N54" s="385"/>
      <c r="R54" s="39"/>
      <c r="S54" s="3"/>
    </row>
    <row r="55" spans="1:19" x14ac:dyDescent="0.2">
      <c r="A55" s="56" t="s">
        <v>194</v>
      </c>
      <c r="B55" s="578" t="s">
        <v>72</v>
      </c>
      <c r="C55" s="579"/>
      <c r="D55" s="13">
        <f>AVERAGE(Q55:S55)</f>
        <v>22403</v>
      </c>
      <c r="E55" s="23"/>
      <c r="F55" s="14"/>
      <c r="G55" s="14"/>
      <c r="H55" s="15">
        <v>17436</v>
      </c>
      <c r="I55" s="15">
        <v>18354</v>
      </c>
      <c r="J55" s="15">
        <v>18354</v>
      </c>
      <c r="K55" s="179">
        <v>18176</v>
      </c>
      <c r="L55" s="179">
        <v>17100</v>
      </c>
      <c r="M55" s="386">
        <v>17100</v>
      </c>
      <c r="N55" s="387">
        <v>17100</v>
      </c>
      <c r="O55" s="3">
        <v>17100</v>
      </c>
      <c r="P55" s="56">
        <v>19019</v>
      </c>
      <c r="Q55" s="74">
        <v>21732</v>
      </c>
      <c r="R55" s="39">
        <v>22752</v>
      </c>
      <c r="S55" s="3">
        <v>22725</v>
      </c>
    </row>
    <row r="56" spans="1:19" x14ac:dyDescent="0.2">
      <c r="A56" s="56" t="s">
        <v>74</v>
      </c>
      <c r="B56" s="578" t="s">
        <v>75</v>
      </c>
      <c r="C56" s="579"/>
      <c r="D56" s="13">
        <f>AVERAGE(Q56:S56)</f>
        <v>24154</v>
      </c>
      <c r="E56" s="23"/>
      <c r="F56" s="14"/>
      <c r="G56" s="14"/>
      <c r="H56" s="15">
        <v>18318</v>
      </c>
      <c r="I56" s="15">
        <v>18956</v>
      </c>
      <c r="J56" s="15">
        <v>18735</v>
      </c>
      <c r="K56" s="179">
        <v>18735</v>
      </c>
      <c r="L56" s="179">
        <v>17669</v>
      </c>
      <c r="M56" s="386">
        <v>17699</v>
      </c>
      <c r="N56" s="387">
        <v>17669</v>
      </c>
      <c r="O56" s="3">
        <v>17669</v>
      </c>
      <c r="P56" s="56">
        <v>19997</v>
      </c>
      <c r="Q56" s="74">
        <v>22565</v>
      </c>
      <c r="R56" s="39">
        <v>24962</v>
      </c>
      <c r="S56" s="3">
        <v>24935</v>
      </c>
    </row>
    <row r="57" spans="1:19" x14ac:dyDescent="0.2">
      <c r="A57" s="56" t="s">
        <v>77</v>
      </c>
      <c r="B57" s="578" t="s">
        <v>76</v>
      </c>
      <c r="C57" s="579"/>
      <c r="D57" s="13">
        <f>AVERAGE(Q57:S57)</f>
        <v>52739.333333333336</v>
      </c>
      <c r="E57" s="23"/>
      <c r="F57" s="14"/>
      <c r="G57" s="14">
        <v>54338</v>
      </c>
      <c r="H57" s="15">
        <v>42524</v>
      </c>
      <c r="I57" s="15">
        <v>44551</v>
      </c>
      <c r="J57" s="15">
        <v>44246</v>
      </c>
      <c r="K57" s="179">
        <v>44246</v>
      </c>
      <c r="L57" s="179">
        <v>43139</v>
      </c>
      <c r="M57" s="386">
        <v>43139</v>
      </c>
      <c r="N57" s="387">
        <v>43139</v>
      </c>
      <c r="O57" s="3">
        <v>43139</v>
      </c>
      <c r="P57" s="56">
        <v>49066</v>
      </c>
      <c r="Q57" s="74">
        <v>54629</v>
      </c>
      <c r="R57" s="39">
        <v>51808</v>
      </c>
      <c r="S57" s="3">
        <v>51781</v>
      </c>
    </row>
    <row r="58" spans="1:19" x14ac:dyDescent="0.2">
      <c r="A58" s="56" t="s">
        <v>79</v>
      </c>
      <c r="B58" s="578" t="s">
        <v>80</v>
      </c>
      <c r="C58" s="579"/>
      <c r="D58" s="13">
        <f>AVERAGE(Q58:S58)</f>
        <v>22052</v>
      </c>
      <c r="E58" s="23"/>
      <c r="F58" s="14"/>
      <c r="G58" s="14"/>
      <c r="H58" s="15">
        <v>23557</v>
      </c>
      <c r="I58" s="15">
        <v>23708</v>
      </c>
      <c r="J58" s="15">
        <v>22322</v>
      </c>
      <c r="K58" s="179">
        <f>(22644+25726+18596)/3</f>
        <v>22322</v>
      </c>
      <c r="L58" s="179">
        <f>(21353+24533+17472)/3</f>
        <v>21119.333333333332</v>
      </c>
      <c r="M58" s="386">
        <v>21119</v>
      </c>
      <c r="N58" s="387">
        <f>(21353+24533+17472)/3</f>
        <v>21119.333333333332</v>
      </c>
      <c r="O58" s="3">
        <v>21119</v>
      </c>
      <c r="P58" s="3">
        <v>22460</v>
      </c>
      <c r="Q58" s="39">
        <v>22192</v>
      </c>
      <c r="R58" s="39">
        <v>21955</v>
      </c>
      <c r="S58" s="3">
        <v>22009</v>
      </c>
    </row>
    <row r="59" spans="1:19" x14ac:dyDescent="0.2">
      <c r="A59" s="34"/>
      <c r="B59" s="57"/>
      <c r="C59" s="57"/>
      <c r="D59" s="13"/>
      <c r="E59" s="23"/>
      <c r="F59" s="58"/>
      <c r="G59" s="58"/>
      <c r="H59" s="59"/>
      <c r="I59" s="59"/>
      <c r="J59" s="72"/>
      <c r="M59" s="385"/>
      <c r="N59" s="385"/>
      <c r="S59" s="3"/>
    </row>
    <row r="60" spans="1:19" x14ac:dyDescent="0.2">
      <c r="A60" s="56" t="s">
        <v>82</v>
      </c>
      <c r="B60" s="578" t="s">
        <v>83</v>
      </c>
      <c r="C60" s="579"/>
      <c r="D60" s="13">
        <f>AVERAGE(Q60:S60)</f>
        <v>57464.666666666664</v>
      </c>
      <c r="E60" s="23"/>
      <c r="F60" s="14"/>
      <c r="G60" s="14">
        <v>53976</v>
      </c>
      <c r="H60" s="15">
        <v>53459</v>
      </c>
      <c r="I60" s="15">
        <v>51316</v>
      </c>
      <c r="J60" s="15">
        <v>51066</v>
      </c>
      <c r="K60" s="179">
        <v>51066</v>
      </c>
      <c r="L60" s="179">
        <v>50181</v>
      </c>
      <c r="M60" s="386">
        <v>50181</v>
      </c>
      <c r="N60" s="387">
        <v>45795</v>
      </c>
      <c r="O60" s="3">
        <v>45795</v>
      </c>
      <c r="P60" s="3">
        <v>53348</v>
      </c>
      <c r="Q60" s="3">
        <v>60566</v>
      </c>
      <c r="R60" s="39">
        <v>56054</v>
      </c>
      <c r="S60" s="3">
        <v>55774</v>
      </c>
    </row>
    <row r="61" spans="1:19" x14ac:dyDescent="0.2">
      <c r="A61" s="55"/>
      <c r="B61" s="416"/>
      <c r="C61" s="416"/>
      <c r="D61" s="23"/>
      <c r="E61" s="23"/>
      <c r="F61" s="53"/>
      <c r="G61" s="53"/>
      <c r="H61" s="54"/>
      <c r="I61" s="54"/>
      <c r="J61" s="54"/>
      <c r="K61" s="378"/>
      <c r="L61" s="378"/>
      <c r="M61" s="417"/>
      <c r="N61" s="417"/>
      <c r="S61" s="3"/>
    </row>
    <row r="62" spans="1:19" x14ac:dyDescent="0.2">
      <c r="A62" s="56" t="s">
        <v>364</v>
      </c>
      <c r="B62" s="578" t="s">
        <v>365</v>
      </c>
      <c r="C62" s="579"/>
      <c r="D62" s="13">
        <v>17907</v>
      </c>
      <c r="E62" s="23"/>
      <c r="F62" s="14"/>
      <c r="G62" s="14"/>
      <c r="H62" s="15"/>
      <c r="I62" s="15"/>
      <c r="J62" s="15"/>
      <c r="K62" s="179"/>
      <c r="L62" s="179"/>
      <c r="M62" s="386"/>
      <c r="N62" s="387"/>
      <c r="O62" s="3"/>
      <c r="P62" s="3"/>
      <c r="Q62" s="3"/>
      <c r="R62" s="39"/>
      <c r="S62" s="3"/>
    </row>
    <row r="63" spans="1:19" x14ac:dyDescent="0.2">
      <c r="A63" s="55"/>
      <c r="B63" s="416"/>
      <c r="C63" s="416"/>
      <c r="D63" s="23"/>
      <c r="E63" s="23"/>
      <c r="F63" s="53"/>
      <c r="G63" s="53"/>
      <c r="H63" s="54"/>
      <c r="I63" s="54"/>
      <c r="J63" s="54"/>
      <c r="K63" s="378"/>
      <c r="L63" s="378"/>
      <c r="M63" s="417"/>
      <c r="N63" s="417"/>
      <c r="S63" s="3"/>
    </row>
    <row r="64" spans="1:19" x14ac:dyDescent="0.2">
      <c r="A64" s="3" t="s">
        <v>360</v>
      </c>
      <c r="B64" s="3"/>
      <c r="C64" s="3"/>
      <c r="D64" s="13">
        <v>50</v>
      </c>
      <c r="E64" s="5"/>
      <c r="F64" s="3"/>
      <c r="G64" s="3"/>
      <c r="H64" s="3"/>
      <c r="I64" s="3"/>
      <c r="J64" s="56"/>
      <c r="K64" s="3"/>
      <c r="L64" s="3"/>
      <c r="M64" s="382"/>
      <c r="N64" s="382"/>
      <c r="O64" s="3"/>
      <c r="P64" s="3"/>
      <c r="Q64" s="3"/>
      <c r="R64" s="39"/>
      <c r="S64" s="3"/>
    </row>
    <row r="65" spans="1:20" x14ac:dyDescent="0.2">
      <c r="E65" s="5"/>
      <c r="J65" s="72"/>
      <c r="M65" s="385"/>
      <c r="N65" s="385"/>
    </row>
    <row r="66" spans="1:20" ht="15" x14ac:dyDescent="0.25">
      <c r="A66" s="4" t="s">
        <v>3</v>
      </c>
      <c r="C66" s="4" t="s">
        <v>90</v>
      </c>
      <c r="D66" s="9" t="s">
        <v>37</v>
      </c>
      <c r="E66" s="5"/>
      <c r="F66" s="11">
        <v>2010</v>
      </c>
      <c r="G66" s="11">
        <v>2011</v>
      </c>
      <c r="H66" s="12">
        <v>2012</v>
      </c>
      <c r="I66" s="12">
        <v>2013</v>
      </c>
      <c r="J66" s="12">
        <v>2014</v>
      </c>
      <c r="K66" s="12">
        <v>2015</v>
      </c>
      <c r="L66" s="12">
        <v>2017</v>
      </c>
      <c r="M66" s="12">
        <v>2018</v>
      </c>
      <c r="N66" s="12">
        <v>2019</v>
      </c>
      <c r="O66" s="12">
        <v>2020</v>
      </c>
      <c r="P66" s="12">
        <v>2021</v>
      </c>
      <c r="Q66" s="12">
        <v>2022</v>
      </c>
      <c r="R66" s="12">
        <v>2023</v>
      </c>
      <c r="S66" s="12">
        <v>2024</v>
      </c>
    </row>
    <row r="67" spans="1:20" x14ac:dyDescent="0.2">
      <c r="A67" s="3" t="s">
        <v>38</v>
      </c>
      <c r="B67" s="10" t="s">
        <v>182</v>
      </c>
      <c r="C67" s="70">
        <v>69.400000000000006</v>
      </c>
      <c r="D67" s="13">
        <f>AVERAGE(Q67:S67)</f>
        <v>4017.3333333333335</v>
      </c>
      <c r="E67" s="5"/>
      <c r="F67" s="14">
        <v>3443</v>
      </c>
      <c r="G67" s="14">
        <v>3350</v>
      </c>
      <c r="H67" s="15">
        <v>3258</v>
      </c>
      <c r="I67" s="15">
        <v>3435</v>
      </c>
      <c r="J67" s="15">
        <v>3595</v>
      </c>
      <c r="K67" s="15">
        <v>3376</v>
      </c>
      <c r="L67" s="179">
        <v>3135</v>
      </c>
      <c r="M67" s="381">
        <v>3383</v>
      </c>
      <c r="N67" s="382">
        <v>3553</v>
      </c>
      <c r="O67" s="3">
        <v>3668</v>
      </c>
      <c r="P67" s="3">
        <v>3689</v>
      </c>
      <c r="Q67" s="3">
        <v>4040</v>
      </c>
      <c r="R67" s="39">
        <v>4051</v>
      </c>
      <c r="S67" s="3">
        <v>3961</v>
      </c>
    </row>
    <row r="68" spans="1:20" x14ac:dyDescent="0.2">
      <c r="A68" s="3" t="s">
        <v>38</v>
      </c>
      <c r="B68" s="10" t="s">
        <v>183</v>
      </c>
      <c r="C68" s="70">
        <v>76.7</v>
      </c>
      <c r="D68" s="13">
        <f>AVERAGE(Q68:S68)</f>
        <v>4462.333333333333</v>
      </c>
      <c r="E68" s="5"/>
      <c r="F68" s="14"/>
      <c r="G68" s="14">
        <v>3438</v>
      </c>
      <c r="H68" s="15">
        <v>3404</v>
      </c>
      <c r="I68" s="15">
        <v>3622</v>
      </c>
      <c r="J68" s="15">
        <v>3906</v>
      </c>
      <c r="K68" s="15">
        <f>(3572+3718)/2</f>
        <v>3645</v>
      </c>
      <c r="L68" s="179">
        <v>3398</v>
      </c>
      <c r="M68" s="381">
        <f>(3552+3658)/2</f>
        <v>3605</v>
      </c>
      <c r="N68" s="382">
        <f>(3721+3820)/2</f>
        <v>3770.5</v>
      </c>
      <c r="O68" s="382">
        <v>4029</v>
      </c>
      <c r="P68" s="382">
        <v>4188</v>
      </c>
      <c r="Q68" s="382">
        <v>4429</v>
      </c>
      <c r="R68" s="39">
        <v>4479</v>
      </c>
      <c r="S68" s="39">
        <v>4479</v>
      </c>
      <c r="T68" s="430" t="s">
        <v>137</v>
      </c>
    </row>
    <row r="69" spans="1:20" x14ac:dyDescent="0.2">
      <c r="A69" s="3" t="s">
        <v>85</v>
      </c>
      <c r="B69" s="10" t="s">
        <v>184</v>
      </c>
      <c r="C69" s="70">
        <v>62.1</v>
      </c>
      <c r="D69" s="13">
        <f>AVERAGE(Q69:S69)</f>
        <v>4103</v>
      </c>
      <c r="F69" s="14">
        <v>3378</v>
      </c>
      <c r="G69" s="14">
        <v>3560</v>
      </c>
      <c r="H69" s="15">
        <v>3679</v>
      </c>
      <c r="I69" s="15">
        <v>3858</v>
      </c>
      <c r="J69" s="15">
        <v>3644</v>
      </c>
      <c r="K69" s="15">
        <v>3716</v>
      </c>
      <c r="L69" s="179">
        <v>3597</v>
      </c>
      <c r="M69" s="381">
        <v>3943</v>
      </c>
      <c r="N69" s="382">
        <v>4073</v>
      </c>
      <c r="O69" s="3">
        <v>4090</v>
      </c>
      <c r="P69" s="3">
        <v>4115</v>
      </c>
      <c r="Q69" s="3">
        <v>4223</v>
      </c>
      <c r="R69" s="39">
        <v>4211</v>
      </c>
      <c r="S69" s="3">
        <v>3875</v>
      </c>
    </row>
    <row r="70" spans="1:20" x14ac:dyDescent="0.2">
      <c r="A70" s="3" t="s">
        <v>85</v>
      </c>
      <c r="B70" s="10" t="s">
        <v>185</v>
      </c>
      <c r="C70" s="70">
        <v>76.7</v>
      </c>
      <c r="D70" s="13">
        <f>AVERAGE(Q70:S70)</f>
        <v>5060</v>
      </c>
      <c r="E70" s="5"/>
      <c r="F70" s="14"/>
      <c r="G70" s="14">
        <v>4055</v>
      </c>
      <c r="H70" s="15">
        <v>4372</v>
      </c>
      <c r="I70" s="15">
        <v>4600</v>
      </c>
      <c r="J70" s="15">
        <v>4447</v>
      </c>
      <c r="K70" s="15">
        <v>4538</v>
      </c>
      <c r="L70" s="179">
        <v>4449</v>
      </c>
      <c r="M70" s="381">
        <v>4819</v>
      </c>
      <c r="N70" s="382">
        <v>4927</v>
      </c>
      <c r="O70" s="382">
        <v>4967</v>
      </c>
      <c r="P70" s="382">
        <v>5134</v>
      </c>
      <c r="Q70" s="382">
        <v>5175</v>
      </c>
      <c r="R70" s="39">
        <v>5187</v>
      </c>
      <c r="S70" s="39">
        <v>4818</v>
      </c>
      <c r="T70" s="430" t="s">
        <v>137</v>
      </c>
    </row>
    <row r="71" spans="1:20" x14ac:dyDescent="0.2">
      <c r="A71" s="16"/>
      <c r="B71" s="17"/>
      <c r="C71" s="38"/>
      <c r="D71" s="13"/>
      <c r="E71" s="5"/>
      <c r="F71" s="19"/>
      <c r="G71" s="19"/>
      <c r="H71" s="20"/>
      <c r="I71" s="20"/>
      <c r="J71" s="55"/>
      <c r="K71" s="5"/>
      <c r="M71" s="385"/>
      <c r="N71" s="385"/>
      <c r="S71" s="3"/>
    </row>
    <row r="72" spans="1:20" x14ac:dyDescent="0.2">
      <c r="A72" s="3" t="s">
        <v>118</v>
      </c>
      <c r="B72" s="10" t="s">
        <v>186</v>
      </c>
      <c r="C72" s="70">
        <v>46.1</v>
      </c>
      <c r="D72" s="13">
        <f>AVERAGE(Q72:S72)</f>
        <v>2640.6666666666665</v>
      </c>
      <c r="F72" s="14">
        <v>2380</v>
      </c>
      <c r="G72" s="14">
        <v>2388</v>
      </c>
      <c r="H72" s="15">
        <v>2398</v>
      </c>
      <c r="I72" s="15">
        <v>2471</v>
      </c>
      <c r="J72" s="15">
        <v>1801</v>
      </c>
      <c r="K72" s="15">
        <v>1786</v>
      </c>
      <c r="L72" s="179">
        <v>2033</v>
      </c>
      <c r="M72" s="381">
        <v>1992</v>
      </c>
      <c r="N72" s="382">
        <v>2054</v>
      </c>
      <c r="O72" s="3">
        <v>2071</v>
      </c>
      <c r="P72" s="3">
        <v>2338</v>
      </c>
      <c r="Q72" s="3">
        <v>2582</v>
      </c>
      <c r="R72" s="39">
        <v>2679</v>
      </c>
      <c r="S72" s="3">
        <v>2661</v>
      </c>
    </row>
    <row r="73" spans="1:20" x14ac:dyDescent="0.2">
      <c r="A73" s="3" t="s">
        <v>119</v>
      </c>
      <c r="B73" s="10" t="s">
        <v>196</v>
      </c>
      <c r="C73" s="70">
        <v>9.1</v>
      </c>
      <c r="D73" s="13"/>
      <c r="F73" s="14"/>
      <c r="G73" s="14"/>
      <c r="H73" s="15"/>
      <c r="I73" s="15"/>
      <c r="J73" s="15"/>
      <c r="K73" s="15"/>
      <c r="L73" s="179"/>
      <c r="M73" s="381"/>
      <c r="N73" s="382"/>
      <c r="O73" s="3"/>
      <c r="P73" s="3"/>
      <c r="Q73" s="3"/>
      <c r="R73" s="39"/>
      <c r="S73" s="3"/>
    </row>
    <row r="74" spans="1:20" x14ac:dyDescent="0.2">
      <c r="A74" s="16"/>
      <c r="B74" s="17"/>
      <c r="C74" s="38"/>
      <c r="D74" s="13"/>
      <c r="E74" s="5"/>
      <c r="F74" s="19"/>
      <c r="G74" s="19"/>
      <c r="H74" s="20"/>
      <c r="I74" s="20"/>
      <c r="J74" s="55"/>
      <c r="M74" s="385"/>
      <c r="N74" s="385"/>
      <c r="S74" s="3"/>
    </row>
    <row r="75" spans="1:20" x14ac:dyDescent="0.2">
      <c r="A75" s="3" t="s">
        <v>163</v>
      </c>
      <c r="B75" s="10" t="s">
        <v>181</v>
      </c>
      <c r="C75" s="70">
        <v>40.200000000000003</v>
      </c>
      <c r="D75" s="13">
        <f>AVERAGE(Q75:S75)</f>
        <v>1444</v>
      </c>
      <c r="F75" s="14">
        <v>2710</v>
      </c>
      <c r="G75" s="14">
        <v>2045</v>
      </c>
      <c r="H75" s="15">
        <v>1998</v>
      </c>
      <c r="I75" s="15">
        <v>1805</v>
      </c>
      <c r="J75" s="15">
        <v>1187</v>
      </c>
      <c r="K75" s="15">
        <v>1139</v>
      </c>
      <c r="L75" s="179">
        <v>1140</v>
      </c>
      <c r="M75" s="383">
        <v>1048</v>
      </c>
      <c r="N75" s="384">
        <v>1390</v>
      </c>
      <c r="O75" s="3">
        <v>1380</v>
      </c>
      <c r="P75" s="56">
        <v>2356</v>
      </c>
      <c r="Q75" s="56">
        <v>2272</v>
      </c>
      <c r="R75" s="39">
        <v>1018</v>
      </c>
      <c r="S75" s="3">
        <v>1042</v>
      </c>
    </row>
    <row r="76" spans="1:20" x14ac:dyDescent="0.2">
      <c r="A76" s="3" t="s">
        <v>164</v>
      </c>
      <c r="B76" s="10"/>
      <c r="C76" s="70">
        <v>25.6</v>
      </c>
      <c r="D76" s="13"/>
      <c r="F76" s="14"/>
      <c r="G76" s="14"/>
      <c r="H76" s="15"/>
      <c r="I76" s="15"/>
      <c r="J76" s="15"/>
      <c r="K76" s="15"/>
      <c r="L76" s="179"/>
      <c r="M76" s="381"/>
      <c r="N76" s="382"/>
      <c r="O76" s="3"/>
    </row>
    <row r="77" spans="1:20" x14ac:dyDescent="0.2">
      <c r="A77" s="3" t="s">
        <v>165</v>
      </c>
      <c r="B77" s="10"/>
      <c r="C77" s="70">
        <v>16.399999999999999</v>
      </c>
      <c r="D77" s="13"/>
      <c r="F77" s="14"/>
      <c r="G77" s="14"/>
      <c r="H77" s="15"/>
      <c r="I77" s="15"/>
      <c r="J77" s="15"/>
      <c r="K77" s="15"/>
      <c r="L77" s="179"/>
      <c r="M77" s="381"/>
      <c r="N77" s="382"/>
      <c r="O77" s="3"/>
    </row>
    <row r="78" spans="1:20" x14ac:dyDescent="0.2">
      <c r="A78" s="3" t="s">
        <v>167</v>
      </c>
      <c r="B78" s="10"/>
      <c r="C78" s="70">
        <v>9.1</v>
      </c>
      <c r="D78" s="13"/>
      <c r="F78" s="14"/>
      <c r="G78" s="14"/>
      <c r="H78" s="15"/>
      <c r="I78" s="15"/>
      <c r="J78" s="15"/>
      <c r="K78" s="15"/>
      <c r="L78" s="179"/>
      <c r="M78" s="381"/>
      <c r="N78" s="382"/>
      <c r="O78" s="3"/>
    </row>
    <row r="79" spans="1:20" x14ac:dyDescent="0.2">
      <c r="A79" s="3"/>
      <c r="B79" s="10"/>
      <c r="C79" s="70"/>
      <c r="D79" s="13">
        <f>AVERAGE(O79:Q79)</f>
        <v>1966</v>
      </c>
      <c r="F79" s="14"/>
      <c r="G79" s="14"/>
      <c r="H79" s="15"/>
      <c r="I79" s="15"/>
      <c r="J79" s="15"/>
      <c r="K79" s="15"/>
      <c r="L79" s="179">
        <v>1786</v>
      </c>
      <c r="M79" s="381">
        <v>1645</v>
      </c>
      <c r="N79" s="382">
        <v>1867</v>
      </c>
      <c r="O79" s="3">
        <v>1804</v>
      </c>
      <c r="P79" s="3">
        <v>1977</v>
      </c>
      <c r="Q79" s="3">
        <v>2117</v>
      </c>
      <c r="R79" s="3"/>
      <c r="S79" s="3"/>
      <c r="T79" s="3" t="s">
        <v>366</v>
      </c>
    </row>
    <row r="80" spans="1:20" x14ac:dyDescent="0.2">
      <c r="A80" s="3" t="s">
        <v>362</v>
      </c>
      <c r="B80" s="10" t="s">
        <v>369</v>
      </c>
      <c r="C80" s="70">
        <v>25.6</v>
      </c>
      <c r="D80" s="13">
        <f>AVERAGE(Q80:S80)</f>
        <v>1312.5757575757577</v>
      </c>
      <c r="F80" s="14"/>
      <c r="G80" s="14"/>
      <c r="H80" s="15"/>
      <c r="I80" s="15"/>
      <c r="J80" s="15"/>
      <c r="K80" s="15"/>
      <c r="L80" s="425">
        <f t="shared" ref="L80:N80" si="2">L79/22*12</f>
        <v>974.18181818181824</v>
      </c>
      <c r="M80" s="179">
        <f t="shared" si="2"/>
        <v>897.27272727272725</v>
      </c>
      <c r="N80" s="179">
        <f t="shared" si="2"/>
        <v>1018.3636363636363</v>
      </c>
      <c r="O80" s="3">
        <f>O79/22*12</f>
        <v>984</v>
      </c>
      <c r="P80" s="3">
        <f>P79/22*12</f>
        <v>1078.3636363636363</v>
      </c>
      <c r="Q80" s="3">
        <f>Q79/22*12</f>
        <v>1154.7272727272727</v>
      </c>
      <c r="R80" s="3">
        <v>1368</v>
      </c>
      <c r="S80" s="3">
        <v>1415</v>
      </c>
      <c r="T80" s="3" t="s">
        <v>367</v>
      </c>
    </row>
    <row r="81" spans="1:19" x14ac:dyDescent="0.2">
      <c r="A81" s="3"/>
      <c r="B81" s="10"/>
      <c r="C81" s="70"/>
      <c r="D81" s="13"/>
      <c r="F81" s="14"/>
      <c r="G81" s="14"/>
      <c r="H81" s="15"/>
      <c r="I81" s="15"/>
      <c r="J81" s="15"/>
      <c r="K81" s="15"/>
      <c r="L81" s="179"/>
      <c r="M81" s="381"/>
      <c r="N81" s="382"/>
      <c r="O81" s="3"/>
      <c r="P81" s="3"/>
      <c r="Q81" s="3"/>
      <c r="S81" s="3"/>
    </row>
    <row r="82" spans="1:19" x14ac:dyDescent="0.2">
      <c r="A82" s="3" t="s">
        <v>121</v>
      </c>
      <c r="B82" s="10" t="s">
        <v>187</v>
      </c>
      <c r="C82" s="70">
        <v>20.100000000000001</v>
      </c>
      <c r="D82" s="13">
        <f>AVERAGE(Q82:S82)</f>
        <v>1294</v>
      </c>
      <c r="F82" s="14">
        <v>896</v>
      </c>
      <c r="G82" s="14">
        <v>970</v>
      </c>
      <c r="H82" s="15">
        <v>957</v>
      </c>
      <c r="I82" s="15">
        <v>1015</v>
      </c>
      <c r="J82" s="15">
        <v>868</v>
      </c>
      <c r="K82" s="15">
        <v>937</v>
      </c>
      <c r="L82" s="179">
        <v>1107</v>
      </c>
      <c r="M82" s="381">
        <v>1209</v>
      </c>
      <c r="N82" s="382">
        <v>846</v>
      </c>
      <c r="O82" s="3">
        <v>1156</v>
      </c>
      <c r="P82" s="3">
        <v>1042</v>
      </c>
      <c r="Q82" s="3">
        <v>1298</v>
      </c>
      <c r="R82" s="39">
        <v>1238</v>
      </c>
      <c r="S82" s="3">
        <v>1346</v>
      </c>
    </row>
    <row r="83" spans="1:19" x14ac:dyDescent="0.2">
      <c r="A83" s="3" t="s">
        <v>121</v>
      </c>
      <c r="B83" s="10" t="s">
        <v>363</v>
      </c>
      <c r="C83" s="70">
        <v>20.100000000000001</v>
      </c>
      <c r="D83" s="13">
        <f>AVERAGE(Q83:S83)</f>
        <v>976.66666666666663</v>
      </c>
      <c r="F83" s="14"/>
      <c r="G83" s="14"/>
      <c r="H83" s="15"/>
      <c r="I83" s="15"/>
      <c r="J83" s="15"/>
      <c r="K83" s="15"/>
      <c r="L83" s="179">
        <v>1002</v>
      </c>
      <c r="M83" s="381">
        <v>942</v>
      </c>
      <c r="N83" s="382">
        <v>785</v>
      </c>
      <c r="O83" s="3">
        <v>789</v>
      </c>
      <c r="P83" s="3">
        <v>753</v>
      </c>
      <c r="Q83" s="3">
        <v>881</v>
      </c>
      <c r="R83" s="39">
        <v>978</v>
      </c>
      <c r="S83" s="3">
        <v>1071</v>
      </c>
    </row>
    <row r="84" spans="1:19" x14ac:dyDescent="0.2">
      <c r="A84" s="3" t="s">
        <v>120</v>
      </c>
      <c r="B84" s="10" t="s">
        <v>166</v>
      </c>
      <c r="C84" s="70">
        <v>9.1</v>
      </c>
      <c r="D84" s="13"/>
      <c r="F84" s="14"/>
      <c r="G84" s="14"/>
      <c r="H84" s="15"/>
      <c r="I84" s="15"/>
      <c r="J84" s="15"/>
      <c r="K84" s="15"/>
      <c r="L84" s="179"/>
      <c r="M84" s="381"/>
      <c r="N84" s="382"/>
      <c r="O84" s="3"/>
      <c r="P84" s="3"/>
      <c r="Q84" s="3"/>
      <c r="R84" s="39"/>
      <c r="S84" s="3"/>
    </row>
    <row r="85" spans="1:19" x14ac:dyDescent="0.2">
      <c r="C85" s="72"/>
      <c r="D85" s="13"/>
      <c r="J85" s="72"/>
      <c r="M85" s="385"/>
      <c r="N85" s="385"/>
      <c r="S85" s="3"/>
    </row>
    <row r="86" spans="1:19" x14ac:dyDescent="0.2">
      <c r="A86" s="3" t="s">
        <v>39</v>
      </c>
      <c r="B86" s="10" t="s">
        <v>153</v>
      </c>
      <c r="C86" s="79"/>
      <c r="D86" s="13">
        <f>AVERAGE(Q86:S86)</f>
        <v>177.33333333333334</v>
      </c>
      <c r="F86" s="25">
        <v>1110</v>
      </c>
      <c r="G86" s="25">
        <v>1338</v>
      </c>
      <c r="H86" s="26">
        <v>895</v>
      </c>
      <c r="I86" s="27">
        <v>966</v>
      </c>
      <c r="J86" s="15">
        <v>595</v>
      </c>
      <c r="K86" s="15">
        <v>746</v>
      </c>
      <c r="L86" s="179">
        <v>991</v>
      </c>
      <c r="M86" s="381">
        <v>621</v>
      </c>
      <c r="N86" s="392">
        <v>-295</v>
      </c>
      <c r="O86" s="3">
        <v>-324</v>
      </c>
      <c r="P86" s="3">
        <v>-287</v>
      </c>
      <c r="Q86" s="428">
        <v>183</v>
      </c>
      <c r="R86" s="39">
        <v>199</v>
      </c>
      <c r="S86" s="3">
        <v>150</v>
      </c>
    </row>
    <row r="87" spans="1:19" x14ac:dyDescent="0.2">
      <c r="A87" s="56" t="s">
        <v>88</v>
      </c>
      <c r="B87" s="10" t="s">
        <v>154</v>
      </c>
      <c r="C87" s="79">
        <v>6</v>
      </c>
      <c r="D87" s="13">
        <f>AVERAGE(Q87:S87)</f>
        <v>120.33333333333333</v>
      </c>
      <c r="F87" s="25"/>
      <c r="G87" s="25">
        <v>1861</v>
      </c>
      <c r="H87" s="26">
        <v>1040</v>
      </c>
      <c r="I87" s="44">
        <v>1145</v>
      </c>
      <c r="J87" s="15">
        <v>845</v>
      </c>
      <c r="K87" s="15">
        <v>1004</v>
      </c>
      <c r="L87" s="179">
        <v>1233</v>
      </c>
      <c r="M87" s="381">
        <v>-7</v>
      </c>
      <c r="N87" s="392">
        <v>-196</v>
      </c>
      <c r="O87" s="3">
        <v>-325</v>
      </c>
      <c r="P87" s="3">
        <v>-345</v>
      </c>
      <c r="Q87" s="428">
        <v>80</v>
      </c>
      <c r="R87" s="39">
        <v>101</v>
      </c>
      <c r="S87" s="3">
        <v>180</v>
      </c>
    </row>
    <row r="88" spans="1:19" x14ac:dyDescent="0.2">
      <c r="C88" s="72"/>
      <c r="D88" s="13"/>
      <c r="J88" s="72"/>
      <c r="M88" s="385"/>
      <c r="N88" s="385"/>
      <c r="S88" s="3"/>
    </row>
    <row r="89" spans="1:19" x14ac:dyDescent="0.2">
      <c r="A89" s="24" t="s">
        <v>40</v>
      </c>
      <c r="B89" s="10" t="s">
        <v>91</v>
      </c>
      <c r="C89" s="70">
        <v>9.1</v>
      </c>
      <c r="D89" s="13">
        <f>AVERAGE(Q89:S89)</f>
        <v>1110</v>
      </c>
      <c r="F89" s="25"/>
      <c r="G89" s="25">
        <v>1206</v>
      </c>
      <c r="H89" s="26">
        <v>1003</v>
      </c>
      <c r="I89" s="44">
        <v>937</v>
      </c>
      <c r="J89" s="15">
        <v>843</v>
      </c>
      <c r="K89" s="15">
        <v>864</v>
      </c>
      <c r="L89" s="179">
        <v>906</v>
      </c>
      <c r="M89" s="381">
        <v>917</v>
      </c>
      <c r="N89" s="382">
        <v>903</v>
      </c>
      <c r="O89" s="3">
        <v>901</v>
      </c>
      <c r="P89" s="3">
        <v>916</v>
      </c>
      <c r="Q89" s="3">
        <v>1083</v>
      </c>
      <c r="R89" s="39">
        <v>1120</v>
      </c>
      <c r="S89" s="3">
        <v>1127</v>
      </c>
    </row>
    <row r="90" spans="1:19" x14ac:dyDescent="0.2">
      <c r="A90" s="24" t="s">
        <v>40</v>
      </c>
      <c r="B90" s="10" t="s">
        <v>41</v>
      </c>
      <c r="C90" s="70">
        <v>6.6</v>
      </c>
      <c r="D90" s="13">
        <f>AVERAGE(Q90:S90)</f>
        <v>327.66666666666669</v>
      </c>
      <c r="F90" s="25">
        <v>239</v>
      </c>
      <c r="G90" s="25">
        <v>262</v>
      </c>
      <c r="H90" s="26">
        <v>278</v>
      </c>
      <c r="I90" s="27">
        <v>297</v>
      </c>
      <c r="J90" s="15">
        <v>216</v>
      </c>
      <c r="K90" s="15">
        <v>244</v>
      </c>
      <c r="L90" s="179">
        <v>257</v>
      </c>
      <c r="M90" s="381">
        <v>263</v>
      </c>
      <c r="N90" s="382">
        <v>246</v>
      </c>
      <c r="O90" s="3">
        <v>244</v>
      </c>
      <c r="P90" s="3">
        <v>319</v>
      </c>
      <c r="Q90" s="3">
        <v>318</v>
      </c>
      <c r="R90" s="39">
        <v>335</v>
      </c>
      <c r="S90" s="3">
        <v>330</v>
      </c>
    </row>
    <row r="91" spans="1:19" x14ac:dyDescent="0.2">
      <c r="A91" s="24" t="s">
        <v>92</v>
      </c>
      <c r="B91" s="10" t="s">
        <v>99</v>
      </c>
      <c r="C91" s="70">
        <v>5.8</v>
      </c>
      <c r="D91" s="13">
        <f>AVERAGE(Q91:S91)</f>
        <v>327.66666666666669</v>
      </c>
      <c r="F91" s="25">
        <v>239</v>
      </c>
      <c r="G91" s="25">
        <v>262</v>
      </c>
      <c r="H91" s="26">
        <v>278</v>
      </c>
      <c r="I91" s="44">
        <v>297</v>
      </c>
      <c r="J91" s="15">
        <v>216</v>
      </c>
      <c r="K91" s="15">
        <v>244</v>
      </c>
      <c r="L91" s="179">
        <v>257</v>
      </c>
      <c r="M91" s="381">
        <v>263</v>
      </c>
      <c r="N91" s="388">
        <v>246</v>
      </c>
      <c r="O91" s="3">
        <v>244</v>
      </c>
      <c r="P91" s="3">
        <v>319</v>
      </c>
      <c r="Q91" s="3">
        <v>318</v>
      </c>
      <c r="R91" s="39">
        <v>335</v>
      </c>
      <c r="S91" s="3">
        <v>330</v>
      </c>
    </row>
    <row r="92" spans="1:19" x14ac:dyDescent="0.2">
      <c r="A92" s="24" t="s">
        <v>195</v>
      </c>
      <c r="B92" s="10" t="s">
        <v>131</v>
      </c>
      <c r="C92" s="70">
        <v>4.4000000000000004</v>
      </c>
      <c r="D92" s="13"/>
      <c r="F92" s="25"/>
      <c r="G92" s="25"/>
      <c r="H92" s="26"/>
      <c r="I92" s="44"/>
      <c r="J92" s="15"/>
      <c r="K92" s="15"/>
      <c r="L92" s="179"/>
      <c r="M92" s="381"/>
      <c r="N92" s="382"/>
      <c r="O92" s="3"/>
      <c r="P92" s="3"/>
      <c r="Q92" s="3"/>
      <c r="R92" s="39"/>
      <c r="S92" s="3"/>
    </row>
    <row r="93" spans="1:19" x14ac:dyDescent="0.2">
      <c r="A93" s="65"/>
      <c r="B93" s="52"/>
      <c r="C93" s="71"/>
      <c r="D93" s="13"/>
      <c r="F93" s="63"/>
      <c r="G93" s="63"/>
      <c r="H93" s="64"/>
      <c r="I93" s="36"/>
      <c r="J93" s="72"/>
      <c r="M93" s="385"/>
      <c r="N93" s="389"/>
      <c r="S93" s="3"/>
    </row>
    <row r="94" spans="1:19" x14ac:dyDescent="0.2">
      <c r="A94" s="24" t="s">
        <v>96</v>
      </c>
      <c r="B94" s="10" t="s">
        <v>91</v>
      </c>
      <c r="C94" s="70">
        <v>7.3</v>
      </c>
      <c r="D94" s="13">
        <f>AVERAGE(Q94:S94)</f>
        <v>858.66666666666663</v>
      </c>
      <c r="F94" s="25"/>
      <c r="G94" s="25">
        <v>1020</v>
      </c>
      <c r="H94" s="26">
        <v>941</v>
      </c>
      <c r="I94" s="44">
        <v>962</v>
      </c>
      <c r="J94" s="15">
        <v>897</v>
      </c>
      <c r="K94" s="15">
        <v>917</v>
      </c>
      <c r="L94" s="179">
        <v>922</v>
      </c>
      <c r="M94" s="381">
        <v>980</v>
      </c>
      <c r="N94" s="382">
        <v>954</v>
      </c>
      <c r="O94" s="3">
        <v>943</v>
      </c>
      <c r="P94" s="3">
        <v>895</v>
      </c>
      <c r="Q94" s="3">
        <v>836</v>
      </c>
      <c r="R94" s="39">
        <v>867</v>
      </c>
      <c r="S94" s="3">
        <v>873</v>
      </c>
    </row>
    <row r="95" spans="1:19" x14ac:dyDescent="0.2">
      <c r="A95" s="24" t="s">
        <v>97</v>
      </c>
      <c r="B95" s="10" t="s">
        <v>98</v>
      </c>
      <c r="C95" s="70">
        <v>5.8</v>
      </c>
      <c r="D95" s="13"/>
      <c r="F95" s="25"/>
      <c r="G95" s="25"/>
      <c r="H95" s="26"/>
      <c r="I95" s="44"/>
      <c r="J95" s="15"/>
      <c r="K95" s="15"/>
      <c r="L95" s="179"/>
      <c r="M95" s="382"/>
      <c r="N95" s="382"/>
      <c r="O95" s="3"/>
      <c r="P95" s="3"/>
      <c r="Q95" s="3"/>
      <c r="R95" s="39"/>
      <c r="S95" s="3"/>
    </row>
    <row r="96" spans="1:19" x14ac:dyDescent="0.2">
      <c r="A96" s="24" t="s">
        <v>11</v>
      </c>
      <c r="B96" s="10" t="s">
        <v>99</v>
      </c>
      <c r="C96" s="70">
        <v>5.8</v>
      </c>
      <c r="D96" s="13"/>
      <c r="F96" s="25"/>
      <c r="G96" s="25"/>
      <c r="H96" s="26"/>
      <c r="I96" s="44"/>
      <c r="J96" s="15"/>
      <c r="K96" s="15"/>
      <c r="L96" s="179"/>
      <c r="M96" s="381"/>
      <c r="N96" s="382"/>
      <c r="O96" s="3"/>
      <c r="P96" s="3"/>
      <c r="Q96" s="3"/>
      <c r="R96" s="39"/>
      <c r="S96" s="3"/>
    </row>
    <row r="97" spans="1:20" x14ac:dyDescent="0.2">
      <c r="A97" s="24" t="s">
        <v>100</v>
      </c>
      <c r="B97" s="10" t="s">
        <v>131</v>
      </c>
      <c r="C97" s="70">
        <v>3.7</v>
      </c>
      <c r="D97" s="13"/>
      <c r="F97" s="25"/>
      <c r="G97" s="25"/>
      <c r="H97" s="26"/>
      <c r="I97" s="44"/>
      <c r="J97" s="15"/>
      <c r="K97" s="15"/>
      <c r="L97" s="179"/>
      <c r="M97" s="382"/>
      <c r="N97" s="382"/>
      <c r="O97" s="3"/>
      <c r="P97" s="3"/>
      <c r="Q97" s="3"/>
      <c r="R97" s="39"/>
      <c r="S97" s="3"/>
    </row>
    <row r="98" spans="1:20" x14ac:dyDescent="0.2">
      <c r="A98" s="65"/>
      <c r="B98" s="52"/>
      <c r="C98" s="71"/>
      <c r="D98" s="13"/>
      <c r="F98" s="63"/>
      <c r="G98" s="63"/>
      <c r="H98" s="64"/>
      <c r="I98" s="36"/>
      <c r="J98" s="72"/>
      <c r="M98" s="385"/>
      <c r="N98" s="385"/>
      <c r="S98" s="3"/>
    </row>
    <row r="99" spans="1:20" x14ac:dyDescent="0.2">
      <c r="A99" s="3" t="s">
        <v>197</v>
      </c>
      <c r="B99" s="10" t="s">
        <v>200</v>
      </c>
      <c r="C99" s="70">
        <v>29.2</v>
      </c>
      <c r="D99" s="13">
        <f>AVERAGE(Q99:S99)</f>
        <v>7176.333333333333</v>
      </c>
      <c r="F99" s="25"/>
      <c r="G99" s="25">
        <v>7232</v>
      </c>
      <c r="H99" s="26">
        <v>7121</v>
      </c>
      <c r="I99" s="44">
        <v>7229</v>
      </c>
      <c r="J99" s="15">
        <v>6549</v>
      </c>
      <c r="K99" s="15">
        <v>6549</v>
      </c>
      <c r="L99" s="179">
        <v>6740</v>
      </c>
      <c r="M99" s="382">
        <v>6724</v>
      </c>
      <c r="N99" s="382">
        <v>7044</v>
      </c>
      <c r="O99" s="3">
        <v>7123</v>
      </c>
      <c r="P99" s="3">
        <v>6843</v>
      </c>
      <c r="Q99" s="3">
        <v>6731</v>
      </c>
      <c r="R99" s="39">
        <v>6947</v>
      </c>
      <c r="S99" s="3">
        <v>7851</v>
      </c>
    </row>
    <row r="100" spans="1:20" x14ac:dyDescent="0.2">
      <c r="A100" s="3" t="s">
        <v>201</v>
      </c>
      <c r="B100" s="10" t="s">
        <v>161</v>
      </c>
      <c r="C100" s="70">
        <v>36.5</v>
      </c>
      <c r="D100" s="13">
        <f>AVERAGE(Q100:S100)</f>
        <v>-3891</v>
      </c>
      <c r="F100" s="25"/>
      <c r="G100" s="25">
        <v>-1845</v>
      </c>
      <c r="H100" s="26">
        <v>-2142</v>
      </c>
      <c r="I100" s="44">
        <v>-1997</v>
      </c>
      <c r="J100" s="15">
        <v>-2444</v>
      </c>
      <c r="K100" s="15">
        <f>(-1953-2933)/2</f>
        <v>-2443</v>
      </c>
      <c r="L100" s="179">
        <f>(-1742-2562)/2</f>
        <v>-2152</v>
      </c>
      <c r="M100" s="382">
        <f>(-1683+-2560)/2</f>
        <v>-2121.5</v>
      </c>
      <c r="N100" s="382">
        <f>(-2273-3350)/2</f>
        <v>-2811.5</v>
      </c>
      <c r="O100" s="3">
        <v>-2713</v>
      </c>
      <c r="P100" s="3">
        <v>-3353</v>
      </c>
      <c r="Q100" s="3">
        <v>-3468</v>
      </c>
      <c r="R100" s="39">
        <v>-3827</v>
      </c>
      <c r="S100" s="428">
        <v>-4378</v>
      </c>
    </row>
    <row r="101" spans="1:20" x14ac:dyDescent="0.2">
      <c r="A101" s="73" t="s">
        <v>93</v>
      </c>
      <c r="B101" s="10" t="s">
        <v>94</v>
      </c>
      <c r="C101" s="70">
        <v>5.5</v>
      </c>
      <c r="D101" s="13"/>
      <c r="F101" s="25"/>
      <c r="G101" s="25"/>
      <c r="H101" s="26"/>
      <c r="I101" s="44"/>
      <c r="J101" s="15"/>
      <c r="K101" s="15"/>
      <c r="L101" s="179"/>
      <c r="M101" s="382"/>
      <c r="N101" s="382"/>
      <c r="O101" s="3"/>
      <c r="P101" s="3"/>
      <c r="Q101" s="3"/>
      <c r="R101" s="39"/>
      <c r="S101" s="3"/>
    </row>
    <row r="102" spans="1:20" x14ac:dyDescent="0.2">
      <c r="A102" s="73" t="s">
        <v>148</v>
      </c>
      <c r="B102" s="10" t="s">
        <v>95</v>
      </c>
      <c r="C102" s="70">
        <v>23.7</v>
      </c>
      <c r="D102" s="13"/>
      <c r="F102" s="25"/>
      <c r="G102" s="25"/>
      <c r="H102" s="26"/>
      <c r="I102" s="44"/>
      <c r="J102" s="15"/>
      <c r="K102" s="15"/>
      <c r="L102" s="179"/>
      <c r="M102" s="382"/>
      <c r="N102" s="382"/>
      <c r="O102" s="3"/>
      <c r="P102" s="3"/>
      <c r="Q102" s="3"/>
      <c r="R102" s="39"/>
      <c r="S102" s="3"/>
    </row>
    <row r="103" spans="1:20" x14ac:dyDescent="0.2">
      <c r="A103" s="5"/>
      <c r="B103" s="52"/>
      <c r="C103" s="71"/>
      <c r="D103" s="13"/>
      <c r="F103" s="63"/>
      <c r="G103" s="63"/>
      <c r="H103" s="64"/>
      <c r="I103" s="36"/>
      <c r="J103" s="72"/>
      <c r="M103" s="385"/>
      <c r="N103" s="385"/>
      <c r="S103" s="3"/>
    </row>
    <row r="104" spans="1:20" x14ac:dyDescent="0.2">
      <c r="A104" s="74" t="s">
        <v>125</v>
      </c>
      <c r="B104" s="75" t="s">
        <v>114</v>
      </c>
      <c r="C104" s="70">
        <v>16.399999999999999</v>
      </c>
      <c r="D104" s="13"/>
      <c r="F104" s="25"/>
      <c r="G104" s="25"/>
      <c r="H104" s="26"/>
      <c r="I104" s="44"/>
      <c r="J104" s="15"/>
      <c r="K104" s="15"/>
      <c r="L104" s="179"/>
      <c r="M104" s="382"/>
      <c r="N104" s="382"/>
      <c r="O104" s="3"/>
      <c r="P104" s="3"/>
      <c r="Q104" s="3"/>
      <c r="R104" s="39"/>
      <c r="S104" s="3"/>
    </row>
    <row r="105" spans="1:20" x14ac:dyDescent="0.2">
      <c r="A105" s="74" t="s">
        <v>126</v>
      </c>
      <c r="B105" s="75" t="s">
        <v>114</v>
      </c>
      <c r="C105" s="70">
        <v>14.6</v>
      </c>
      <c r="D105" s="13"/>
      <c r="F105" s="25"/>
      <c r="G105" s="25"/>
      <c r="H105" s="26"/>
      <c r="I105" s="44"/>
      <c r="J105" s="15"/>
      <c r="K105" s="15"/>
      <c r="L105" s="179"/>
      <c r="M105" s="382"/>
      <c r="N105" s="382"/>
      <c r="O105" s="3"/>
      <c r="P105" s="3"/>
      <c r="Q105" s="3"/>
      <c r="R105" s="39"/>
      <c r="S105" s="3"/>
    </row>
    <row r="106" spans="1:20" x14ac:dyDescent="0.2">
      <c r="C106" s="72"/>
      <c r="D106" s="13"/>
      <c r="J106" s="72"/>
      <c r="M106" s="385"/>
      <c r="N106" s="385"/>
      <c r="S106" s="3"/>
    </row>
    <row r="107" spans="1:20" x14ac:dyDescent="0.2">
      <c r="A107" s="3" t="s">
        <v>198</v>
      </c>
      <c r="B107" s="75" t="s">
        <v>135</v>
      </c>
      <c r="C107" s="56">
        <v>5.3</v>
      </c>
      <c r="D107" s="13">
        <f>AVERAGE(Q107:S107)</f>
        <v>161.33333333333334</v>
      </c>
      <c r="F107" s="3"/>
      <c r="G107" s="3">
        <v>302</v>
      </c>
      <c r="H107" s="3">
        <v>299</v>
      </c>
      <c r="I107" s="3">
        <v>303</v>
      </c>
      <c r="J107" s="15">
        <v>362</v>
      </c>
      <c r="K107" s="15">
        <v>229</v>
      </c>
      <c r="L107" s="179">
        <v>169</v>
      </c>
      <c r="M107" s="382">
        <v>159</v>
      </c>
      <c r="N107" s="382">
        <v>159</v>
      </c>
      <c r="O107" s="179">
        <v>168</v>
      </c>
      <c r="P107" s="179">
        <v>168</v>
      </c>
      <c r="Q107" s="179">
        <v>155</v>
      </c>
      <c r="R107" s="431">
        <v>164</v>
      </c>
      <c r="S107" s="431">
        <v>165</v>
      </c>
      <c r="T107" s="422" t="s">
        <v>136</v>
      </c>
    </row>
    <row r="108" spans="1:20" x14ac:dyDescent="0.2">
      <c r="A108" s="56" t="s">
        <v>199</v>
      </c>
      <c r="B108" s="75" t="s">
        <v>135</v>
      </c>
      <c r="C108" s="56">
        <v>10.5</v>
      </c>
      <c r="D108" s="13">
        <f>AVERAGE(Q108:S108)</f>
        <v>216</v>
      </c>
      <c r="F108" s="3"/>
      <c r="G108" s="3">
        <v>617</v>
      </c>
      <c r="H108" s="3">
        <v>610</v>
      </c>
      <c r="I108" s="3">
        <v>618</v>
      </c>
      <c r="J108" s="15">
        <v>478</v>
      </c>
      <c r="K108" s="15">
        <v>265</v>
      </c>
      <c r="L108" s="179">
        <v>212</v>
      </c>
      <c r="M108" s="382">
        <v>230</v>
      </c>
      <c r="N108" s="382">
        <v>229</v>
      </c>
      <c r="O108" s="179">
        <v>231</v>
      </c>
      <c r="P108" s="179">
        <v>231</v>
      </c>
      <c r="Q108" s="179">
        <v>202</v>
      </c>
      <c r="R108" s="431">
        <v>222</v>
      </c>
      <c r="S108" s="431">
        <v>224</v>
      </c>
      <c r="T108" s="422" t="s">
        <v>136</v>
      </c>
    </row>
    <row r="109" spans="1:20" x14ac:dyDescent="0.2">
      <c r="C109" s="72"/>
      <c r="D109" s="13"/>
      <c r="K109" s="72"/>
      <c r="M109" s="385"/>
      <c r="N109" s="385"/>
      <c r="S109" s="3"/>
    </row>
    <row r="110" spans="1:20" x14ac:dyDescent="0.2">
      <c r="A110" s="187" t="s">
        <v>159</v>
      </c>
      <c r="C110" s="72"/>
      <c r="D110" s="13"/>
      <c r="K110" s="72"/>
      <c r="M110" s="385"/>
      <c r="N110" s="385"/>
      <c r="S110" s="3"/>
    </row>
    <row r="111" spans="1:20" x14ac:dyDescent="0.2">
      <c r="A111" s="56" t="s">
        <v>39</v>
      </c>
      <c r="B111" s="70" t="s">
        <v>283</v>
      </c>
      <c r="C111" s="78">
        <v>6</v>
      </c>
      <c r="D111" s="13">
        <f>AVERAGE(Q111:S111)</f>
        <v>507.66666666666669</v>
      </c>
      <c r="E111" s="72"/>
      <c r="F111" s="56"/>
      <c r="G111" s="56"/>
      <c r="H111" s="56"/>
      <c r="I111" s="56"/>
      <c r="J111" s="179">
        <v>885</v>
      </c>
      <c r="K111" s="179">
        <v>865</v>
      </c>
      <c r="L111" s="179">
        <v>911</v>
      </c>
      <c r="M111" s="382">
        <v>607</v>
      </c>
      <c r="N111" s="392">
        <v>25</v>
      </c>
      <c r="O111" s="423">
        <v>254</v>
      </c>
      <c r="P111" s="423">
        <v>437</v>
      </c>
      <c r="Q111" s="423">
        <v>646</v>
      </c>
      <c r="R111" s="39">
        <v>482</v>
      </c>
      <c r="S111" s="3">
        <v>395</v>
      </c>
    </row>
    <row r="112" spans="1:20" x14ac:dyDescent="0.2">
      <c r="C112" s="72"/>
      <c r="K112" s="72"/>
      <c r="L112" s="72"/>
      <c r="M112" s="385"/>
      <c r="N112" s="385"/>
      <c r="S112" s="3"/>
    </row>
    <row r="113" spans="1:20" x14ac:dyDescent="0.2">
      <c r="A113" s="317" t="s">
        <v>42</v>
      </c>
      <c r="B113" s="316" t="s">
        <v>284</v>
      </c>
      <c r="C113" s="318">
        <v>20</v>
      </c>
      <c r="D113" s="319">
        <f>(P113+Q113+R113+S113+((P113+Q113)/2))/5</f>
        <v>1359.1</v>
      </c>
      <c r="E113" s="320"/>
      <c r="F113" s="321">
        <v>1522</v>
      </c>
      <c r="G113" s="321">
        <v>674</v>
      </c>
      <c r="H113" s="321">
        <v>-1</v>
      </c>
      <c r="I113" s="321">
        <v>884</v>
      </c>
      <c r="J113" s="322">
        <v>1402</v>
      </c>
      <c r="K113" s="322">
        <v>597</v>
      </c>
      <c r="L113" s="322">
        <v>1079</v>
      </c>
      <c r="M113" s="390">
        <v>873</v>
      </c>
      <c r="N113" s="390">
        <v>1104</v>
      </c>
      <c r="O113" s="390">
        <v>1998</v>
      </c>
      <c r="P113" s="390">
        <v>2034</v>
      </c>
      <c r="Q113" s="392">
        <v>1023</v>
      </c>
      <c r="R113" s="39">
        <v>754</v>
      </c>
      <c r="S113" s="39">
        <v>1456</v>
      </c>
      <c r="T113" s="422" t="s">
        <v>285</v>
      </c>
    </row>
    <row r="114" spans="1:20" x14ac:dyDescent="0.2">
      <c r="A114" s="317" t="s">
        <v>42</v>
      </c>
      <c r="B114" s="316" t="s">
        <v>179</v>
      </c>
      <c r="C114" s="318">
        <v>8</v>
      </c>
      <c r="D114" s="319">
        <f>(P114+Q114+R114+S114+((P114+Q114)/2))/5</f>
        <v>1359.1</v>
      </c>
      <c r="E114" s="320"/>
      <c r="F114" s="321">
        <v>1522</v>
      </c>
      <c r="G114" s="321">
        <v>674</v>
      </c>
      <c r="H114" s="321">
        <v>-1</v>
      </c>
      <c r="I114" s="321">
        <v>884</v>
      </c>
      <c r="J114" s="322">
        <v>1402</v>
      </c>
      <c r="K114" s="322">
        <v>597</v>
      </c>
      <c r="L114" s="322">
        <v>1079</v>
      </c>
      <c r="M114" s="390">
        <v>873</v>
      </c>
      <c r="N114" s="390">
        <v>1104</v>
      </c>
      <c r="O114" s="3">
        <v>1998</v>
      </c>
      <c r="P114" s="3">
        <v>2034</v>
      </c>
      <c r="Q114" s="3">
        <v>1023</v>
      </c>
      <c r="R114" s="374">
        <v>754</v>
      </c>
      <c r="S114" s="13">
        <v>1456</v>
      </c>
      <c r="T114" s="375"/>
    </row>
    <row r="115" spans="1:20" x14ac:dyDescent="0.2">
      <c r="A115" s="317" t="s">
        <v>286</v>
      </c>
      <c r="B115" s="316" t="s">
        <v>287</v>
      </c>
      <c r="C115" s="318">
        <v>20</v>
      </c>
      <c r="D115" s="319">
        <f>(P115+Q115+R115+S115+((P115+Q115)/2))/5</f>
        <v>2935.6560000000004</v>
      </c>
      <c r="E115" s="320"/>
      <c r="F115" s="321"/>
      <c r="G115" s="321"/>
      <c r="H115" s="321"/>
      <c r="I115" s="376">
        <f>((I113+(I114*2.6))*0.6)</f>
        <v>1909.44</v>
      </c>
      <c r="J115" s="376">
        <f t="shared" ref="J115:K115" si="3">((J113+(J114*2.6))*0.6)</f>
        <v>3028.32</v>
      </c>
      <c r="K115" s="376">
        <f t="shared" si="3"/>
        <v>1289.5199999999998</v>
      </c>
      <c r="L115" s="376">
        <f t="shared" ref="L115:O115" si="4">((L113+(L114*2.6))*0.6)</f>
        <v>2330.64</v>
      </c>
      <c r="M115" s="390">
        <f t="shared" si="4"/>
        <v>1885.68</v>
      </c>
      <c r="N115" s="390">
        <f t="shared" si="4"/>
        <v>2384.64</v>
      </c>
      <c r="O115" s="426">
        <f t="shared" si="4"/>
        <v>4315.68</v>
      </c>
      <c r="P115" s="426">
        <f>((P113+(P114*2.6))*0.6)</f>
        <v>4393.4400000000005</v>
      </c>
      <c r="Q115" s="426">
        <f>((Q113+(Q114*2.6))*0.6)</f>
        <v>2209.6799999999998</v>
      </c>
      <c r="R115" s="432">
        <f>((R113+(R114*2.6))*0.6)</f>
        <v>1628.64</v>
      </c>
      <c r="S115" s="432">
        <f>((S113+(S114*2.6))*0.6)</f>
        <v>3144.96</v>
      </c>
      <c r="T115" s="3" t="s">
        <v>342</v>
      </c>
    </row>
    <row r="116" spans="1:20" x14ac:dyDescent="0.2">
      <c r="A116" s="317" t="s">
        <v>288</v>
      </c>
      <c r="B116" s="316" t="s">
        <v>287</v>
      </c>
      <c r="C116" s="318">
        <v>8</v>
      </c>
      <c r="D116" s="319">
        <f>(P116+Q116+R116+S116+((P116+Q116)/2))/5</f>
        <v>752.73230769230781</v>
      </c>
      <c r="E116" s="320"/>
      <c r="F116" s="321"/>
      <c r="G116" s="321"/>
      <c r="H116" s="321"/>
      <c r="I116" s="376">
        <f>((I113+(I114*2.6))*0.4/2.6)</f>
        <v>489.6</v>
      </c>
      <c r="J116" s="376">
        <f t="shared" ref="J116:K116" si="5">((J113+(J114*2.6))*0.4/2.6)</f>
        <v>776.4923076923078</v>
      </c>
      <c r="K116" s="376">
        <f t="shared" si="5"/>
        <v>330.64615384615382</v>
      </c>
      <c r="L116" s="376">
        <f t="shared" ref="L116:P116" si="6">((L113+(L114*2.6))*0.4/2.6)</f>
        <v>597.6</v>
      </c>
      <c r="M116" s="390">
        <f t="shared" si="6"/>
        <v>483.50769230769231</v>
      </c>
      <c r="N116" s="390">
        <f t="shared" si="6"/>
        <v>611.44615384615395</v>
      </c>
      <c r="O116" s="426">
        <f t="shared" si="6"/>
        <v>1106.5846153846155</v>
      </c>
      <c r="P116" s="426">
        <f t="shared" si="6"/>
        <v>1126.523076923077</v>
      </c>
      <c r="Q116" s="426">
        <f>((Q113+(Q114*2.6))*0.4/2.6)</f>
        <v>566.5846153846154</v>
      </c>
      <c r="R116" s="432">
        <f>((R113+(R114*2.6))*0.4/2.6)</f>
        <v>417.59999999999997</v>
      </c>
      <c r="S116" s="432">
        <f>((S113+(S114*2.6))*0.4/2.6)</f>
        <v>806.40000000000009</v>
      </c>
      <c r="T116" s="3" t="s">
        <v>343</v>
      </c>
    </row>
    <row r="117" spans="1:20" x14ac:dyDescent="0.2">
      <c r="A117" s="24"/>
      <c r="B117" s="10"/>
      <c r="C117" s="78"/>
      <c r="D117" s="13"/>
      <c r="F117" s="3"/>
      <c r="G117" s="3"/>
      <c r="H117" s="3"/>
      <c r="I117" s="3"/>
      <c r="J117" s="15"/>
      <c r="K117" s="15"/>
      <c r="L117" s="179"/>
      <c r="M117" s="382"/>
      <c r="N117" s="382"/>
      <c r="O117" s="3"/>
      <c r="R117" s="375"/>
      <c r="S117" s="3"/>
    </row>
    <row r="118" spans="1:20" x14ac:dyDescent="0.2">
      <c r="A118" s="24" t="s">
        <v>10</v>
      </c>
      <c r="B118" s="10"/>
      <c r="C118" s="70">
        <v>9.1</v>
      </c>
      <c r="D118" s="13">
        <v>500</v>
      </c>
      <c r="F118" s="3"/>
      <c r="G118" s="3"/>
      <c r="H118" s="3"/>
      <c r="I118" s="3"/>
      <c r="J118" s="15"/>
      <c r="K118" s="15"/>
      <c r="L118" s="179"/>
      <c r="M118" s="382"/>
      <c r="N118" s="382"/>
      <c r="O118" s="422"/>
      <c r="P118" s="422"/>
      <c r="Q118" s="422"/>
      <c r="R118" s="433"/>
      <c r="S118" s="422"/>
      <c r="T118" s="422" t="s">
        <v>139</v>
      </c>
    </row>
    <row r="119" spans="1:20" x14ac:dyDescent="0.2">
      <c r="A119" s="24" t="s">
        <v>111</v>
      </c>
      <c r="B119" s="10"/>
      <c r="C119" s="70">
        <v>1.6</v>
      </c>
      <c r="D119" s="13"/>
      <c r="F119" s="3"/>
      <c r="G119" s="3"/>
      <c r="H119" s="3"/>
      <c r="I119" s="3"/>
      <c r="J119" s="15"/>
      <c r="K119" s="15"/>
      <c r="L119" s="179"/>
      <c r="M119" s="382"/>
      <c r="N119" s="382"/>
      <c r="O119" s="3"/>
      <c r="S119" s="3"/>
    </row>
    <row r="120" spans="1:20" x14ac:dyDescent="0.2">
      <c r="A120" s="24" t="s">
        <v>112</v>
      </c>
      <c r="B120" s="10" t="s">
        <v>180</v>
      </c>
      <c r="C120" s="70">
        <v>5.64</v>
      </c>
      <c r="D120" s="323">
        <f>(P120+Q120+R120+S120+((P120+Q120)/2))/5</f>
        <v>132.5</v>
      </c>
      <c r="F120" s="3">
        <v>37</v>
      </c>
      <c r="G120" s="3">
        <v>158</v>
      </c>
      <c r="H120" s="3">
        <v>59</v>
      </c>
      <c r="I120" s="3">
        <v>93</v>
      </c>
      <c r="J120" s="15">
        <v>198</v>
      </c>
      <c r="K120" s="15">
        <v>86</v>
      </c>
      <c r="L120" s="179">
        <v>198</v>
      </c>
      <c r="M120" s="382">
        <v>142</v>
      </c>
      <c r="N120" s="382">
        <v>157</v>
      </c>
      <c r="O120" s="3">
        <v>191</v>
      </c>
      <c r="P120" s="3">
        <v>159</v>
      </c>
      <c r="Q120" s="3">
        <v>108</v>
      </c>
      <c r="R120" s="39">
        <v>115</v>
      </c>
      <c r="S120" s="3">
        <v>147</v>
      </c>
    </row>
    <row r="121" spans="1:20" x14ac:dyDescent="0.2">
      <c r="A121" s="31"/>
      <c r="B121" s="17"/>
      <c r="C121" s="38"/>
      <c r="D121" s="18"/>
      <c r="F121" s="32"/>
      <c r="G121" s="32"/>
      <c r="H121" s="66"/>
      <c r="I121" s="66"/>
      <c r="K121" s="72"/>
      <c r="M121" s="385"/>
      <c r="N121" s="385"/>
      <c r="S121" s="3"/>
    </row>
    <row r="122" spans="1:20" x14ac:dyDescent="0.2">
      <c r="A122" s="24" t="s">
        <v>116</v>
      </c>
      <c r="B122" s="10" t="s">
        <v>117</v>
      </c>
      <c r="C122" s="70">
        <v>0.37</v>
      </c>
      <c r="D122" s="67">
        <v>22.5</v>
      </c>
      <c r="F122" s="28"/>
      <c r="G122" s="25"/>
      <c r="H122" s="25"/>
      <c r="I122" s="25"/>
      <c r="J122" s="15"/>
      <c r="K122" s="15"/>
      <c r="L122" s="179"/>
      <c r="M122" s="382"/>
      <c r="N122" s="382"/>
      <c r="O122" s="422"/>
      <c r="R122" s="433"/>
      <c r="S122" s="422"/>
      <c r="T122" s="422" t="s">
        <v>139</v>
      </c>
    </row>
    <row r="123" spans="1:20" s="5" customFormat="1" x14ac:dyDescent="0.2">
      <c r="A123" s="24" t="s">
        <v>43</v>
      </c>
      <c r="B123" s="10" t="s">
        <v>176</v>
      </c>
      <c r="C123" s="70">
        <v>0.37</v>
      </c>
      <c r="D123" s="67">
        <f>AVERAGE(Q123:S123)/6000</f>
        <v>24.909055555555558</v>
      </c>
      <c r="E123"/>
      <c r="F123" s="28"/>
      <c r="G123" s="25">
        <v>114625</v>
      </c>
      <c r="H123" s="25">
        <v>107977</v>
      </c>
      <c r="I123" s="25">
        <v>116230</v>
      </c>
      <c r="J123" s="15">
        <v>109176</v>
      </c>
      <c r="K123" s="15">
        <v>116201</v>
      </c>
      <c r="L123" s="179">
        <v>116220</v>
      </c>
      <c r="M123" s="382">
        <v>119856</v>
      </c>
      <c r="N123" s="382">
        <v>120416</v>
      </c>
      <c r="O123" s="3">
        <v>120577</v>
      </c>
      <c r="P123" s="3">
        <v>119436</v>
      </c>
      <c r="Q123" s="3">
        <v>144302</v>
      </c>
      <c r="R123" s="39">
        <v>149661</v>
      </c>
      <c r="S123" s="3">
        <v>154400</v>
      </c>
    </row>
    <row r="124" spans="1:20" x14ac:dyDescent="0.2">
      <c r="A124" s="24" t="s">
        <v>43</v>
      </c>
      <c r="B124" s="10" t="s">
        <v>177</v>
      </c>
      <c r="C124" s="70">
        <v>0.37</v>
      </c>
      <c r="D124" s="67">
        <f>AVERAGE(Q124:S124)/12000</f>
        <v>25.637888888888892</v>
      </c>
      <c r="F124" s="28"/>
      <c r="G124" s="25">
        <v>239470</v>
      </c>
      <c r="H124" s="25">
        <v>226177</v>
      </c>
      <c r="I124" s="25">
        <v>242684</v>
      </c>
      <c r="J124" s="15">
        <v>228526</v>
      </c>
      <c r="K124" s="15">
        <v>243068</v>
      </c>
      <c r="L124" s="179">
        <v>248052</v>
      </c>
      <c r="M124" s="382">
        <v>255328</v>
      </c>
      <c r="N124" s="382">
        <v>256448</v>
      </c>
      <c r="O124" s="3">
        <v>257392</v>
      </c>
      <c r="P124" s="3">
        <v>255110</v>
      </c>
      <c r="Q124" s="3">
        <v>294347</v>
      </c>
      <c r="R124" s="39">
        <v>309620</v>
      </c>
      <c r="S124" s="3">
        <v>318997</v>
      </c>
    </row>
    <row r="125" spans="1:20" x14ac:dyDescent="0.2">
      <c r="A125" s="31"/>
      <c r="B125" s="17"/>
      <c r="C125" s="38"/>
      <c r="D125" s="18"/>
      <c r="F125" s="32"/>
      <c r="G125" s="32"/>
      <c r="H125" s="66"/>
      <c r="I125" s="66"/>
      <c r="K125" s="72"/>
      <c r="M125" s="385"/>
      <c r="N125" s="385"/>
      <c r="S125" s="3"/>
    </row>
    <row r="126" spans="1:20" x14ac:dyDescent="0.2">
      <c r="A126" s="24" t="s">
        <v>44</v>
      </c>
      <c r="B126" s="10" t="s">
        <v>178</v>
      </c>
      <c r="C126" s="70">
        <v>0.11</v>
      </c>
      <c r="D126" s="67">
        <f>AVERAGE(Q126:S126)/12000</f>
        <v>8.1531111111111105</v>
      </c>
      <c r="F126" s="28"/>
      <c r="G126" s="25">
        <v>105207</v>
      </c>
      <c r="H126" s="25">
        <v>100494</v>
      </c>
      <c r="I126" s="25">
        <v>92879</v>
      </c>
      <c r="J126" s="15">
        <v>102377</v>
      </c>
      <c r="K126" s="15">
        <v>86262</v>
      </c>
      <c r="L126" s="179">
        <v>89262</v>
      </c>
      <c r="M126" s="382">
        <v>88363</v>
      </c>
      <c r="N126" s="382">
        <v>88223</v>
      </c>
      <c r="O126" s="3">
        <v>87265</v>
      </c>
      <c r="P126" s="3">
        <v>82415</v>
      </c>
      <c r="Q126" s="3">
        <v>97944</v>
      </c>
      <c r="R126" s="39">
        <v>97178</v>
      </c>
      <c r="S126" s="3">
        <v>98390</v>
      </c>
    </row>
    <row r="127" spans="1:20" x14ac:dyDescent="0.2">
      <c r="A127" s="31"/>
      <c r="B127" s="17"/>
      <c r="C127" s="38"/>
      <c r="D127" s="18"/>
      <c r="F127" s="32"/>
      <c r="G127" s="32"/>
      <c r="H127" s="66"/>
      <c r="I127" s="66"/>
      <c r="J127" s="20"/>
      <c r="K127" s="15"/>
      <c r="L127" s="179"/>
      <c r="M127" s="382"/>
      <c r="N127" s="382"/>
      <c r="O127" s="3"/>
      <c r="P127" s="3"/>
      <c r="Q127" s="3"/>
      <c r="R127" s="39"/>
      <c r="S127" s="3"/>
    </row>
    <row r="128" spans="1:20" x14ac:dyDescent="0.2">
      <c r="A128" s="24" t="s">
        <v>115</v>
      </c>
      <c r="B128" s="10" t="s">
        <v>282</v>
      </c>
      <c r="C128" s="70">
        <v>0.24</v>
      </c>
      <c r="D128" s="67">
        <f>AVERAGE(Q128:S128)/11229</f>
        <v>9.3643838869593612</v>
      </c>
      <c r="F128" s="28"/>
      <c r="G128" s="25">
        <v>93526</v>
      </c>
      <c r="H128" s="25">
        <v>90078</v>
      </c>
      <c r="I128" s="25">
        <v>89649</v>
      </c>
      <c r="J128" s="15">
        <v>90915</v>
      </c>
      <c r="K128" s="15">
        <v>96041</v>
      </c>
      <c r="L128" s="179">
        <v>96940</v>
      </c>
      <c r="M128" s="382">
        <v>90657</v>
      </c>
      <c r="N128" s="382">
        <v>91021</v>
      </c>
      <c r="O128" s="3">
        <v>89253</v>
      </c>
      <c r="P128" s="3">
        <v>89473</v>
      </c>
      <c r="Q128" s="3">
        <v>93817</v>
      </c>
      <c r="R128" s="39">
        <v>107058</v>
      </c>
      <c r="S128" s="3">
        <v>114583</v>
      </c>
    </row>
    <row r="129" spans="1:20" x14ac:dyDescent="0.2">
      <c r="A129" s="24" t="s">
        <v>113</v>
      </c>
      <c r="B129" s="10" t="s">
        <v>114</v>
      </c>
      <c r="C129" s="70">
        <v>0.68</v>
      </c>
      <c r="D129" s="67">
        <v>7</v>
      </c>
      <c r="F129" s="28"/>
      <c r="G129" s="25"/>
      <c r="H129" s="25"/>
      <c r="I129" s="25"/>
      <c r="J129" s="15"/>
      <c r="K129" s="15"/>
      <c r="L129" s="179"/>
      <c r="M129" s="382"/>
      <c r="N129" s="382"/>
      <c r="O129" s="422"/>
      <c r="R129" s="433"/>
      <c r="S129" s="422"/>
      <c r="T129" s="422" t="s">
        <v>139</v>
      </c>
    </row>
    <row r="130" spans="1:20" x14ac:dyDescent="0.2">
      <c r="J130" s="72"/>
    </row>
    <row r="131" spans="1:20" x14ac:dyDescent="0.2">
      <c r="J131" s="72"/>
    </row>
    <row r="132" spans="1:20" x14ac:dyDescent="0.2">
      <c r="J132" s="72"/>
    </row>
    <row r="133" spans="1:20" x14ac:dyDescent="0.2">
      <c r="A133" s="6"/>
      <c r="J133" s="72"/>
    </row>
    <row r="134" spans="1:20" x14ac:dyDescent="0.2">
      <c r="A134" s="6"/>
      <c r="J134" s="72"/>
    </row>
    <row r="135" spans="1:20" x14ac:dyDescent="0.2">
      <c r="A135" s="6"/>
      <c r="J135" s="72"/>
    </row>
    <row r="136" spans="1:20" x14ac:dyDescent="0.2">
      <c r="A136" s="7"/>
      <c r="J136" s="72"/>
    </row>
    <row r="137" spans="1:20" x14ac:dyDescent="0.2">
      <c r="A137" s="6"/>
      <c r="J137" s="72"/>
    </row>
    <row r="138" spans="1:20" x14ac:dyDescent="0.2">
      <c r="A138" s="6"/>
      <c r="J138" s="72"/>
    </row>
    <row r="139" spans="1:20" x14ac:dyDescent="0.2">
      <c r="A139" s="6"/>
      <c r="J139" s="72"/>
    </row>
    <row r="140" spans="1:20" x14ac:dyDescent="0.2">
      <c r="A140" s="6"/>
      <c r="J140" s="72"/>
    </row>
    <row r="141" spans="1:20" x14ac:dyDescent="0.2">
      <c r="A141" s="6"/>
      <c r="J141" s="72"/>
    </row>
    <row r="142" spans="1:20" x14ac:dyDescent="0.2">
      <c r="A142" s="6"/>
      <c r="J142" s="72"/>
    </row>
    <row r="143" spans="1:20" x14ac:dyDescent="0.2">
      <c r="A143" s="6"/>
      <c r="J143" s="72"/>
    </row>
    <row r="144" spans="1:20" x14ac:dyDescent="0.2">
      <c r="A144" s="6"/>
      <c r="J144" s="72"/>
    </row>
    <row r="145" spans="1:10" x14ac:dyDescent="0.2">
      <c r="A145" s="6"/>
      <c r="J145" s="72"/>
    </row>
    <row r="146" spans="1:10" x14ac:dyDescent="0.2">
      <c r="A146" s="6"/>
      <c r="J146" s="72"/>
    </row>
    <row r="147" spans="1:10" x14ac:dyDescent="0.2">
      <c r="A147" s="6"/>
      <c r="J147" s="72"/>
    </row>
    <row r="148" spans="1:10" x14ac:dyDescent="0.2">
      <c r="A148" s="6"/>
      <c r="J148" s="72"/>
    </row>
    <row r="149" spans="1:10" x14ac:dyDescent="0.2">
      <c r="A149" s="6"/>
      <c r="J149" s="72"/>
    </row>
    <row r="150" spans="1:10" x14ac:dyDescent="0.2">
      <c r="A150" s="6"/>
      <c r="J150" s="72"/>
    </row>
    <row r="151" spans="1:10" x14ac:dyDescent="0.2">
      <c r="A151" s="6"/>
      <c r="J151" s="72"/>
    </row>
    <row r="152" spans="1:10" x14ac:dyDescent="0.2">
      <c r="A152" s="6"/>
      <c r="J152" s="72"/>
    </row>
    <row r="153" spans="1:10" x14ac:dyDescent="0.2">
      <c r="A153" s="6"/>
      <c r="J153" s="72"/>
    </row>
    <row r="154" spans="1:10" x14ac:dyDescent="0.2">
      <c r="A154" s="6"/>
      <c r="J154" s="72"/>
    </row>
    <row r="155" spans="1:10" x14ac:dyDescent="0.2">
      <c r="A155" s="6"/>
      <c r="J155" s="72"/>
    </row>
    <row r="156" spans="1:10" x14ac:dyDescent="0.2">
      <c r="A156" s="6"/>
      <c r="J156" s="72"/>
    </row>
    <row r="157" spans="1:10" x14ac:dyDescent="0.2">
      <c r="A157" s="6"/>
      <c r="J157" s="72"/>
    </row>
    <row r="158" spans="1:10" x14ac:dyDescent="0.2">
      <c r="A158" s="6"/>
      <c r="J158" s="72"/>
    </row>
    <row r="159" spans="1:10" x14ac:dyDescent="0.2">
      <c r="A159" s="6"/>
      <c r="J159" s="72"/>
    </row>
    <row r="160" spans="1:10" x14ac:dyDescent="0.2">
      <c r="A160" s="6"/>
      <c r="J160" s="72"/>
    </row>
    <row r="161" spans="1:1" x14ac:dyDescent="0.2">
      <c r="A161" s="6"/>
    </row>
    <row r="162" spans="1:1" x14ac:dyDescent="0.2">
      <c r="A162" s="6"/>
    </row>
    <row r="163" spans="1:1" x14ac:dyDescent="0.2">
      <c r="A163" s="6"/>
    </row>
    <row r="164" spans="1:1" x14ac:dyDescent="0.2">
      <c r="A164" s="6"/>
    </row>
    <row r="165" spans="1:1" x14ac:dyDescent="0.2">
      <c r="A165" s="6"/>
    </row>
    <row r="167" spans="1:1" x14ac:dyDescent="0.2">
      <c r="A167" s="6"/>
    </row>
    <row r="168" spans="1:1" x14ac:dyDescent="0.2">
      <c r="A168" s="6"/>
    </row>
    <row r="169" spans="1:1" x14ac:dyDescent="0.2">
      <c r="A169" s="6"/>
    </row>
    <row r="170" spans="1:1" x14ac:dyDescent="0.2">
      <c r="A170"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sheetData>
  <mergeCells count="32">
    <mergeCell ref="B29:C29"/>
    <mergeCell ref="B30:C30"/>
    <mergeCell ref="B31:C31"/>
    <mergeCell ref="B33:C33"/>
    <mergeCell ref="D3:F3"/>
    <mergeCell ref="B25:C25"/>
    <mergeCell ref="B26:C26"/>
    <mergeCell ref="B27:C27"/>
    <mergeCell ref="B28:C28"/>
    <mergeCell ref="B39:C39"/>
    <mergeCell ref="B40:C40"/>
    <mergeCell ref="B43:C43"/>
    <mergeCell ref="B44:C44"/>
    <mergeCell ref="B34:C34"/>
    <mergeCell ref="B35:C35"/>
    <mergeCell ref="B36:C36"/>
    <mergeCell ref="B37:C37"/>
    <mergeCell ref="B41:C41"/>
    <mergeCell ref="B50:C50"/>
    <mergeCell ref="B51:C51"/>
    <mergeCell ref="B52:C52"/>
    <mergeCell ref="B53:C53"/>
    <mergeCell ref="B45:C45"/>
    <mergeCell ref="B47:C47"/>
    <mergeCell ref="B48:C48"/>
    <mergeCell ref="B49:C49"/>
    <mergeCell ref="B62:C62"/>
    <mergeCell ref="B60:C60"/>
    <mergeCell ref="B55:C55"/>
    <mergeCell ref="B56:C56"/>
    <mergeCell ref="B57:C57"/>
    <mergeCell ref="B58:C58"/>
  </mergeCells>
  <pageMargins left="0.7" right="0.7" top="0.78740157499999996" bottom="0.78740157499999996" header="0.3" footer="0.3"/>
  <pageSetup paperSize="9" scale="70" orientation="landscape" r:id="rId1"/>
  <rowBreaks count="1" manualBreakCount="1">
    <brk id="97" max="16383" man="1"/>
  </rowBreaks>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T182"/>
  <sheetViews>
    <sheetView workbookViewId="0">
      <selection activeCell="D59" sqref="D59"/>
    </sheetView>
  </sheetViews>
  <sheetFormatPr baseColWidth="10" defaultRowHeight="14.25" x14ac:dyDescent="0.2"/>
  <cols>
    <col min="1" max="1" width="23.125" customWidth="1"/>
    <col min="2" max="2" width="30.5" customWidth="1"/>
    <col min="3" max="3" width="12.125" bestFit="1" customWidth="1"/>
    <col min="5" max="5" width="3" customWidth="1"/>
    <col min="6" max="6" width="11.5" customWidth="1"/>
    <col min="15" max="15" width="11.375" bestFit="1" customWidth="1"/>
  </cols>
  <sheetData>
    <row r="1" spans="1:7" ht="20.25" x14ac:dyDescent="0.3">
      <c r="A1" s="43" t="s">
        <v>59</v>
      </c>
      <c r="E1" s="21"/>
    </row>
    <row r="2" spans="1:7" ht="5.25" customHeight="1" x14ac:dyDescent="0.25">
      <c r="E2" s="21"/>
    </row>
    <row r="3" spans="1:7" ht="15" customHeight="1" x14ac:dyDescent="0.25">
      <c r="A3" s="9" t="s">
        <v>6</v>
      </c>
      <c r="B3" s="4" t="s">
        <v>7</v>
      </c>
      <c r="C3" s="4"/>
      <c r="D3" s="580" t="s">
        <v>56</v>
      </c>
      <c r="E3" s="581"/>
      <c r="F3" s="581"/>
      <c r="G3" s="37"/>
    </row>
    <row r="4" spans="1:7" x14ac:dyDescent="0.2">
      <c r="A4" s="35">
        <v>31</v>
      </c>
      <c r="B4" s="3" t="s">
        <v>52</v>
      </c>
      <c r="C4" s="40"/>
      <c r="D4" s="40"/>
      <c r="E4" s="41"/>
      <c r="F4" s="76">
        <v>120</v>
      </c>
    </row>
    <row r="5" spans="1:7" x14ac:dyDescent="0.2">
      <c r="A5" s="35">
        <v>31</v>
      </c>
      <c r="B5" s="3" t="s">
        <v>53</v>
      </c>
      <c r="C5" s="39"/>
      <c r="D5" s="39"/>
      <c r="E5" s="16"/>
      <c r="F5" s="77">
        <v>100</v>
      </c>
    </row>
    <row r="6" spans="1:7" x14ac:dyDescent="0.2">
      <c r="A6" s="35">
        <v>31</v>
      </c>
      <c r="B6" s="3" t="s">
        <v>54</v>
      </c>
      <c r="C6" s="39"/>
      <c r="D6" s="39"/>
      <c r="E6" s="16"/>
      <c r="F6" s="77">
        <v>50</v>
      </c>
    </row>
    <row r="7" spans="1:7" x14ac:dyDescent="0.2">
      <c r="A7" s="8"/>
      <c r="F7" s="72"/>
    </row>
    <row r="8" spans="1:7" x14ac:dyDescent="0.2">
      <c r="A8" s="35">
        <v>41</v>
      </c>
      <c r="B8" s="3" t="s">
        <v>52</v>
      </c>
      <c r="C8" s="39"/>
      <c r="D8" s="39"/>
      <c r="E8" s="16"/>
      <c r="F8" s="77">
        <v>100</v>
      </c>
    </row>
    <row r="9" spans="1:7" x14ac:dyDescent="0.2">
      <c r="A9" s="35">
        <v>41</v>
      </c>
      <c r="B9" s="3" t="s">
        <v>53</v>
      </c>
      <c r="C9" s="39"/>
      <c r="D9" s="39"/>
      <c r="E9" s="16"/>
      <c r="F9" s="77">
        <v>90</v>
      </c>
    </row>
    <row r="10" spans="1:7" x14ac:dyDescent="0.2">
      <c r="A10" s="35">
        <v>41</v>
      </c>
      <c r="B10" s="3" t="s">
        <v>54</v>
      </c>
      <c r="C10" s="39"/>
      <c r="D10" s="39"/>
      <c r="E10" s="16"/>
      <c r="F10" s="77">
        <v>45</v>
      </c>
    </row>
    <row r="11" spans="1:7" x14ac:dyDescent="0.2">
      <c r="A11" s="8"/>
      <c r="F11" s="72"/>
    </row>
    <row r="12" spans="1:7" x14ac:dyDescent="0.2">
      <c r="A12" s="35">
        <v>51</v>
      </c>
      <c r="B12" s="3" t="s">
        <v>52</v>
      </c>
      <c r="C12" s="39"/>
      <c r="D12" s="39"/>
      <c r="E12" s="16"/>
      <c r="F12" s="77">
        <v>95</v>
      </c>
    </row>
    <row r="13" spans="1:7" x14ac:dyDescent="0.2">
      <c r="A13" s="35">
        <v>51</v>
      </c>
      <c r="B13" s="3" t="s">
        <v>53</v>
      </c>
      <c r="C13" s="39"/>
      <c r="D13" s="39"/>
      <c r="E13" s="16"/>
      <c r="F13" s="77">
        <v>80</v>
      </c>
    </row>
    <row r="14" spans="1:7" x14ac:dyDescent="0.2">
      <c r="A14" s="35">
        <v>51</v>
      </c>
      <c r="B14" s="3" t="s">
        <v>54</v>
      </c>
      <c r="C14" s="39"/>
      <c r="D14" s="39"/>
      <c r="E14" s="16"/>
      <c r="F14" s="77">
        <v>40</v>
      </c>
    </row>
    <row r="15" spans="1:7" x14ac:dyDescent="0.2">
      <c r="A15" s="8"/>
      <c r="F15" s="72"/>
    </row>
    <row r="16" spans="1:7" x14ac:dyDescent="0.2">
      <c r="A16" s="35">
        <v>52</v>
      </c>
      <c r="B16" s="3" t="s">
        <v>52</v>
      </c>
      <c r="C16" s="39"/>
      <c r="D16" s="39"/>
      <c r="E16" s="16"/>
      <c r="F16" s="77">
        <v>85</v>
      </c>
    </row>
    <row r="17" spans="1:19" x14ac:dyDescent="0.2">
      <c r="A17" s="35">
        <v>52</v>
      </c>
      <c r="B17" s="3" t="s">
        <v>53</v>
      </c>
      <c r="C17" s="39"/>
      <c r="D17" s="39"/>
      <c r="E17" s="16"/>
      <c r="F17" s="77">
        <v>70</v>
      </c>
    </row>
    <row r="18" spans="1:19" x14ac:dyDescent="0.2">
      <c r="A18" s="8"/>
      <c r="F18" s="72"/>
    </row>
    <row r="19" spans="1:19" x14ac:dyDescent="0.2">
      <c r="A19" s="35">
        <v>53</v>
      </c>
      <c r="B19" s="3" t="s">
        <v>55</v>
      </c>
      <c r="C19" s="39"/>
      <c r="D19" s="39"/>
      <c r="E19" s="16"/>
      <c r="F19" s="77">
        <v>60</v>
      </c>
    </row>
    <row r="20" spans="1:19" x14ac:dyDescent="0.2">
      <c r="A20" s="8"/>
      <c r="F20" s="72"/>
    </row>
    <row r="21" spans="1:19" x14ac:dyDescent="0.2">
      <c r="A21" s="35">
        <v>54</v>
      </c>
      <c r="B21" s="3" t="s">
        <v>55</v>
      </c>
      <c r="C21" s="39"/>
      <c r="D21" s="39"/>
      <c r="E21" s="16"/>
      <c r="F21" s="77">
        <v>55</v>
      </c>
    </row>
    <row r="23" spans="1:19" ht="20.25" x14ac:dyDescent="0.3">
      <c r="A23" s="43" t="s">
        <v>60</v>
      </c>
      <c r="J23" s="72"/>
    </row>
    <row r="24" spans="1:19" ht="15" x14ac:dyDescent="0.25">
      <c r="A24" s="4" t="s">
        <v>5</v>
      </c>
      <c r="D24" s="9" t="s">
        <v>37</v>
      </c>
      <c r="E24" s="5"/>
      <c r="F24" s="11">
        <v>2010</v>
      </c>
      <c r="G24" s="11">
        <v>2011</v>
      </c>
      <c r="H24" s="12">
        <v>2012</v>
      </c>
      <c r="I24" s="12">
        <v>2013</v>
      </c>
      <c r="J24" s="12">
        <v>2014</v>
      </c>
      <c r="K24" s="12">
        <v>2015</v>
      </c>
      <c r="L24" s="12">
        <v>2017</v>
      </c>
      <c r="M24" s="12">
        <v>2018</v>
      </c>
      <c r="N24" s="12">
        <v>2019</v>
      </c>
      <c r="O24" s="12">
        <v>2020</v>
      </c>
      <c r="P24" s="12">
        <v>2021</v>
      </c>
      <c r="Q24" s="12">
        <v>2022</v>
      </c>
      <c r="R24" s="12">
        <v>2023</v>
      </c>
      <c r="S24" s="12">
        <v>2024</v>
      </c>
    </row>
    <row r="25" spans="1:19" x14ac:dyDescent="0.2">
      <c r="A25" s="3" t="s">
        <v>13</v>
      </c>
      <c r="B25" s="578" t="s">
        <v>151</v>
      </c>
      <c r="C25" s="579"/>
      <c r="D25" s="13">
        <f t="shared" ref="D25:D31" si="0">AVERAGE(Q25:S25)</f>
        <v>5826.333333333333</v>
      </c>
      <c r="E25" s="22"/>
      <c r="F25" s="14">
        <v>5341</v>
      </c>
      <c r="G25" s="14">
        <v>5479</v>
      </c>
      <c r="H25" s="15">
        <v>5424</v>
      </c>
      <c r="I25" s="15">
        <v>5530</v>
      </c>
      <c r="J25" s="15">
        <v>5611</v>
      </c>
      <c r="K25" s="179">
        <v>5637</v>
      </c>
      <c r="L25" s="179">
        <v>6064</v>
      </c>
      <c r="M25" s="179">
        <v>6016</v>
      </c>
      <c r="N25" s="179">
        <v>5993</v>
      </c>
      <c r="O25" s="3">
        <v>5992</v>
      </c>
      <c r="P25" s="3">
        <v>5898</v>
      </c>
      <c r="Q25" s="3">
        <v>5903</v>
      </c>
      <c r="R25" s="39">
        <v>5881</v>
      </c>
      <c r="S25" s="3">
        <v>5695</v>
      </c>
    </row>
    <row r="26" spans="1:19" x14ac:dyDescent="0.2">
      <c r="A26" s="3" t="s">
        <v>14</v>
      </c>
      <c r="B26" s="578" t="s">
        <v>151</v>
      </c>
      <c r="C26" s="579"/>
      <c r="D26" s="13">
        <f t="shared" si="0"/>
        <v>5286.666666666667</v>
      </c>
      <c r="E26" s="22"/>
      <c r="F26" s="14">
        <v>4998</v>
      </c>
      <c r="G26" s="14">
        <v>4854</v>
      </c>
      <c r="H26" s="15">
        <v>4806</v>
      </c>
      <c r="I26" s="15">
        <v>4903</v>
      </c>
      <c r="J26" s="15">
        <v>4980</v>
      </c>
      <c r="K26" s="179">
        <v>5036</v>
      </c>
      <c r="L26" s="179">
        <v>5312</v>
      </c>
      <c r="M26" s="179">
        <v>5258</v>
      </c>
      <c r="N26" s="179">
        <v>5260</v>
      </c>
      <c r="O26" s="3">
        <v>5460</v>
      </c>
      <c r="P26" s="3">
        <v>5390</v>
      </c>
      <c r="Q26" s="3">
        <v>5388</v>
      </c>
      <c r="R26" s="39">
        <v>5320</v>
      </c>
      <c r="S26" s="3">
        <v>5152</v>
      </c>
    </row>
    <row r="27" spans="1:19" x14ac:dyDescent="0.2">
      <c r="A27" s="3" t="s">
        <v>15</v>
      </c>
      <c r="B27" s="578" t="s">
        <v>151</v>
      </c>
      <c r="C27" s="579"/>
      <c r="D27" s="13">
        <f t="shared" si="0"/>
        <v>5431</v>
      </c>
      <c r="E27" s="22"/>
      <c r="F27" s="14">
        <v>5112</v>
      </c>
      <c r="G27" s="14">
        <v>5055</v>
      </c>
      <c r="H27" s="15">
        <v>4972</v>
      </c>
      <c r="I27" s="15">
        <v>5052</v>
      </c>
      <c r="J27" s="15">
        <v>5132</v>
      </c>
      <c r="K27" s="179">
        <v>5254</v>
      </c>
      <c r="L27" s="179">
        <v>5586</v>
      </c>
      <c r="M27" s="179">
        <v>5538</v>
      </c>
      <c r="N27" s="179">
        <v>5457</v>
      </c>
      <c r="O27" s="3">
        <v>5468</v>
      </c>
      <c r="P27" s="3">
        <v>5523</v>
      </c>
      <c r="Q27" s="3">
        <v>5588</v>
      </c>
      <c r="R27" s="39">
        <v>5438</v>
      </c>
      <c r="S27" s="3">
        <v>5267</v>
      </c>
    </row>
    <row r="28" spans="1:19" x14ac:dyDescent="0.2">
      <c r="A28" s="3" t="s">
        <v>16</v>
      </c>
      <c r="B28" s="578" t="s">
        <v>151</v>
      </c>
      <c r="C28" s="579"/>
      <c r="D28" s="13">
        <f t="shared" si="0"/>
        <v>5337.666666666667</v>
      </c>
      <c r="E28" s="22"/>
      <c r="F28" s="14">
        <v>5022</v>
      </c>
      <c r="G28" s="14">
        <v>5355</v>
      </c>
      <c r="H28" s="15">
        <v>5290</v>
      </c>
      <c r="I28" s="15">
        <v>5391</v>
      </c>
      <c r="J28" s="15">
        <v>5470</v>
      </c>
      <c r="K28" s="179">
        <v>5508</v>
      </c>
      <c r="L28" s="179">
        <v>5641</v>
      </c>
      <c r="M28" s="179">
        <v>5592</v>
      </c>
      <c r="N28" s="179">
        <v>5574</v>
      </c>
      <c r="O28" s="3">
        <v>5558</v>
      </c>
      <c r="P28" s="3">
        <v>5453</v>
      </c>
      <c r="Q28" s="3">
        <v>5418</v>
      </c>
      <c r="R28" s="39">
        <v>5394</v>
      </c>
      <c r="S28" s="3">
        <v>5201</v>
      </c>
    </row>
    <row r="29" spans="1:19" x14ac:dyDescent="0.2">
      <c r="A29" s="3" t="s">
        <v>17</v>
      </c>
      <c r="B29" s="578" t="s">
        <v>151</v>
      </c>
      <c r="C29" s="579"/>
      <c r="D29" s="13">
        <f t="shared" si="0"/>
        <v>4923.666666666667</v>
      </c>
      <c r="E29" s="22"/>
      <c r="F29" s="14">
        <v>4555</v>
      </c>
      <c r="G29" s="14">
        <v>5023</v>
      </c>
      <c r="H29" s="15">
        <v>5031</v>
      </c>
      <c r="I29" s="15">
        <v>5111</v>
      </c>
      <c r="J29" s="15">
        <v>5280</v>
      </c>
      <c r="K29" s="179">
        <v>5282</v>
      </c>
      <c r="L29" s="179">
        <v>5507</v>
      </c>
      <c r="M29" s="179">
        <v>5458</v>
      </c>
      <c r="N29" s="179">
        <v>5579</v>
      </c>
      <c r="O29" s="3">
        <v>5195</v>
      </c>
      <c r="P29" s="3">
        <v>5100</v>
      </c>
      <c r="Q29" s="3">
        <v>5155</v>
      </c>
      <c r="R29" s="39">
        <v>4910</v>
      </c>
      <c r="S29" s="3">
        <v>4706</v>
      </c>
    </row>
    <row r="30" spans="1:19" x14ac:dyDescent="0.2">
      <c r="A30" s="3" t="s">
        <v>18</v>
      </c>
      <c r="B30" s="578" t="s">
        <v>151</v>
      </c>
      <c r="C30" s="579"/>
      <c r="D30" s="13">
        <f t="shared" si="0"/>
        <v>5601.333333333333</v>
      </c>
      <c r="E30" s="22"/>
      <c r="F30" s="14">
        <v>4630</v>
      </c>
      <c r="G30" s="14">
        <v>4756</v>
      </c>
      <c r="H30" s="15">
        <v>4803</v>
      </c>
      <c r="I30" s="15">
        <v>4881</v>
      </c>
      <c r="J30" s="15">
        <v>5036</v>
      </c>
      <c r="K30" s="179">
        <v>5040</v>
      </c>
      <c r="L30" s="179">
        <v>5161</v>
      </c>
      <c r="M30" s="179">
        <v>5113</v>
      </c>
      <c r="N30" s="179">
        <v>5199</v>
      </c>
      <c r="O30" s="3">
        <v>5868</v>
      </c>
      <c r="P30" s="3">
        <v>5760</v>
      </c>
      <c r="Q30" s="3">
        <v>5837</v>
      </c>
      <c r="R30" s="39">
        <v>5590</v>
      </c>
      <c r="S30" s="3">
        <v>5377</v>
      </c>
    </row>
    <row r="31" spans="1:19" x14ac:dyDescent="0.2">
      <c r="A31" s="3" t="s">
        <v>19</v>
      </c>
      <c r="B31" s="578" t="s">
        <v>151</v>
      </c>
      <c r="C31" s="579"/>
      <c r="D31" s="13">
        <f t="shared" si="0"/>
        <v>4015.3333333333335</v>
      </c>
      <c r="E31" s="22"/>
      <c r="F31" s="14">
        <v>3954</v>
      </c>
      <c r="G31" s="14">
        <v>4114</v>
      </c>
      <c r="H31" s="15">
        <v>4134</v>
      </c>
      <c r="I31" s="15">
        <v>4220</v>
      </c>
      <c r="J31" s="15">
        <v>4368</v>
      </c>
      <c r="K31" s="179">
        <v>4353</v>
      </c>
      <c r="L31" s="179">
        <v>3867</v>
      </c>
      <c r="M31" s="179">
        <v>3823</v>
      </c>
      <c r="N31" s="179">
        <v>3949</v>
      </c>
      <c r="O31" s="3">
        <v>4189</v>
      </c>
      <c r="P31" s="3">
        <v>4113</v>
      </c>
      <c r="Q31" s="3">
        <v>4227</v>
      </c>
      <c r="R31" s="39">
        <v>3973</v>
      </c>
      <c r="S31" s="3">
        <v>3846</v>
      </c>
    </row>
    <row r="32" spans="1:19" x14ac:dyDescent="0.2">
      <c r="A32" s="16"/>
      <c r="B32" s="48"/>
      <c r="C32" s="48"/>
      <c r="D32" s="13"/>
      <c r="E32" s="23"/>
      <c r="F32" s="19"/>
      <c r="G32" s="19"/>
      <c r="H32" s="20"/>
      <c r="I32" s="20"/>
      <c r="J32" s="20"/>
      <c r="M32" s="179"/>
      <c r="N32" s="179"/>
      <c r="S32" s="3"/>
    </row>
    <row r="33" spans="1:19" x14ac:dyDescent="0.2">
      <c r="A33" s="3" t="s">
        <v>20</v>
      </c>
      <c r="B33" s="578" t="s">
        <v>151</v>
      </c>
      <c r="C33" s="579"/>
      <c r="D33" s="13">
        <f>AVERAGE(Q33:S33)</f>
        <v>5247</v>
      </c>
      <c r="E33" s="22"/>
      <c r="F33" s="14">
        <v>4848</v>
      </c>
      <c r="G33" s="14">
        <v>4690</v>
      </c>
      <c r="H33" s="15">
        <v>4655</v>
      </c>
      <c r="I33" s="15">
        <v>4691</v>
      </c>
      <c r="J33" s="15">
        <v>4524</v>
      </c>
      <c r="K33" s="179">
        <v>4575</v>
      </c>
      <c r="L33" s="179">
        <v>5199</v>
      </c>
      <c r="M33" s="179">
        <v>5127</v>
      </c>
      <c r="N33" s="179">
        <v>4845</v>
      </c>
      <c r="O33" s="3">
        <v>4820</v>
      </c>
      <c r="P33" s="3">
        <v>4854</v>
      </c>
      <c r="Q33" s="3">
        <v>5277</v>
      </c>
      <c r="R33" s="39">
        <v>5222</v>
      </c>
      <c r="S33" s="3">
        <v>5242</v>
      </c>
    </row>
    <row r="34" spans="1:19" x14ac:dyDescent="0.2">
      <c r="A34" s="3" t="s">
        <v>21</v>
      </c>
      <c r="B34" s="578" t="s">
        <v>151</v>
      </c>
      <c r="C34" s="579"/>
      <c r="D34" s="13">
        <f>AVERAGE(Q34:S34)</f>
        <v>5220.666666666667</v>
      </c>
      <c r="E34" s="22"/>
      <c r="F34" s="14">
        <v>5353</v>
      </c>
      <c r="G34" s="14">
        <v>5281</v>
      </c>
      <c r="H34" s="15">
        <v>5090</v>
      </c>
      <c r="I34" s="15">
        <v>5123</v>
      </c>
      <c r="J34" s="15">
        <v>5033</v>
      </c>
      <c r="K34" s="179">
        <v>4859</v>
      </c>
      <c r="L34" s="179">
        <v>5447</v>
      </c>
      <c r="M34" s="179">
        <v>5325</v>
      </c>
      <c r="N34" s="179">
        <v>5020</v>
      </c>
      <c r="O34" s="3">
        <v>5095</v>
      </c>
      <c r="P34" s="3">
        <v>5168</v>
      </c>
      <c r="Q34" s="3">
        <v>5408</v>
      </c>
      <c r="R34" s="39">
        <v>5172</v>
      </c>
      <c r="S34" s="3">
        <v>5082</v>
      </c>
    </row>
    <row r="35" spans="1:19" x14ac:dyDescent="0.2">
      <c r="A35" s="3" t="s">
        <v>22</v>
      </c>
      <c r="B35" s="578" t="s">
        <v>151</v>
      </c>
      <c r="C35" s="579"/>
      <c r="D35" s="13">
        <f>AVERAGE(Q35:S35)</f>
        <v>5227</v>
      </c>
      <c r="E35" s="22"/>
      <c r="F35" s="14">
        <v>4382</v>
      </c>
      <c r="G35" s="14">
        <v>4825</v>
      </c>
      <c r="H35" s="15">
        <v>4784</v>
      </c>
      <c r="I35" s="15">
        <v>5401</v>
      </c>
      <c r="J35" s="15">
        <v>5092</v>
      </c>
      <c r="K35" s="179">
        <v>5078</v>
      </c>
      <c r="L35" s="179">
        <v>5461</v>
      </c>
      <c r="M35" s="179">
        <v>5296</v>
      </c>
      <c r="N35" s="179">
        <v>5289</v>
      </c>
      <c r="O35" s="3">
        <v>5303</v>
      </c>
      <c r="P35" s="3">
        <v>5400</v>
      </c>
      <c r="Q35" s="3">
        <v>5382</v>
      </c>
      <c r="R35" s="39">
        <v>5102</v>
      </c>
      <c r="S35" s="3">
        <v>5197</v>
      </c>
    </row>
    <row r="36" spans="1:19" x14ac:dyDescent="0.2">
      <c r="A36" s="3" t="s">
        <v>23</v>
      </c>
      <c r="B36" s="578" t="s">
        <v>151</v>
      </c>
      <c r="C36" s="579"/>
      <c r="D36" s="13">
        <f>AVERAGE(Q36:S36)</f>
        <v>6838.333333333333</v>
      </c>
      <c r="E36" s="22"/>
      <c r="F36" s="14">
        <v>5219</v>
      </c>
      <c r="G36" s="14">
        <v>4658</v>
      </c>
      <c r="H36" s="15">
        <v>5086</v>
      </c>
      <c r="I36" s="15">
        <v>5127</v>
      </c>
      <c r="J36" s="15">
        <v>5009</v>
      </c>
      <c r="K36" s="179">
        <v>4981</v>
      </c>
      <c r="L36" s="179">
        <v>6380</v>
      </c>
      <c r="M36" s="179">
        <v>6197</v>
      </c>
      <c r="N36" s="179">
        <v>6176</v>
      </c>
      <c r="O36" s="3">
        <v>6305</v>
      </c>
      <c r="P36" s="3">
        <v>6432</v>
      </c>
      <c r="Q36" s="3">
        <v>6686</v>
      </c>
      <c r="R36" s="39">
        <v>6913</v>
      </c>
      <c r="S36" s="3">
        <v>6916</v>
      </c>
    </row>
    <row r="37" spans="1:19" x14ac:dyDescent="0.2">
      <c r="A37" s="3" t="s">
        <v>24</v>
      </c>
      <c r="B37" s="578" t="s">
        <v>151</v>
      </c>
      <c r="C37" s="579"/>
      <c r="D37" s="13">
        <f>AVERAGE(Q37:S37)</f>
        <v>5326.333333333333</v>
      </c>
      <c r="E37" s="22"/>
      <c r="F37" s="14">
        <v>4842</v>
      </c>
      <c r="G37" s="14">
        <v>5369</v>
      </c>
      <c r="H37" s="15">
        <v>5236</v>
      </c>
      <c r="I37" s="15">
        <v>5682</v>
      </c>
      <c r="J37" s="15">
        <v>5446</v>
      </c>
      <c r="K37" s="179">
        <v>5446</v>
      </c>
      <c r="L37" s="179">
        <v>6554</v>
      </c>
      <c r="M37" s="179">
        <v>6283</v>
      </c>
      <c r="N37" s="179">
        <v>6069</v>
      </c>
      <c r="O37" s="3">
        <v>5099</v>
      </c>
      <c r="P37" s="3">
        <v>5151</v>
      </c>
      <c r="Q37" s="3">
        <v>5353</v>
      </c>
      <c r="R37" s="39">
        <v>5304</v>
      </c>
      <c r="S37" s="3">
        <v>5322</v>
      </c>
    </row>
    <row r="38" spans="1:19" x14ac:dyDescent="0.2">
      <c r="A38" s="16"/>
      <c r="B38" s="48"/>
      <c r="C38" s="48"/>
      <c r="D38" s="13"/>
      <c r="E38" s="23"/>
      <c r="F38" s="19"/>
      <c r="G38" s="19"/>
      <c r="H38" s="20"/>
      <c r="I38" s="20"/>
      <c r="J38" s="20"/>
      <c r="M38" s="179"/>
      <c r="N38" s="179"/>
      <c r="S38" s="3"/>
    </row>
    <row r="39" spans="1:19" x14ac:dyDescent="0.2">
      <c r="A39" s="3" t="s">
        <v>25</v>
      </c>
      <c r="B39" s="578" t="s">
        <v>151</v>
      </c>
      <c r="C39" s="579"/>
      <c r="D39" s="13">
        <f>AVERAGE(Q39:S39)</f>
        <v>5526</v>
      </c>
      <c r="E39" s="180"/>
      <c r="F39" s="14">
        <v>5511</v>
      </c>
      <c r="G39" s="14">
        <v>5786</v>
      </c>
      <c r="H39" s="15">
        <v>6207</v>
      </c>
      <c r="I39" s="15">
        <v>6332</v>
      </c>
      <c r="J39" s="15">
        <v>6599</v>
      </c>
      <c r="K39" s="179">
        <v>6623</v>
      </c>
      <c r="L39" s="3">
        <v>6307</v>
      </c>
      <c r="M39" s="179">
        <v>6264</v>
      </c>
      <c r="N39" s="179">
        <v>6186</v>
      </c>
      <c r="O39" s="3">
        <v>5986</v>
      </c>
      <c r="P39" s="3">
        <v>5911</v>
      </c>
      <c r="Q39" s="3">
        <v>5843</v>
      </c>
      <c r="R39" s="39">
        <v>5509</v>
      </c>
      <c r="S39" s="3">
        <v>5226</v>
      </c>
    </row>
    <row r="40" spans="1:19" x14ac:dyDescent="0.2">
      <c r="A40" s="3" t="s">
        <v>26</v>
      </c>
      <c r="B40" s="578" t="s">
        <v>158</v>
      </c>
      <c r="C40" s="579"/>
      <c r="D40" s="13">
        <f>AVERAGE(Q40:S40)</f>
        <v>5883</v>
      </c>
      <c r="E40" s="180"/>
      <c r="F40" s="14">
        <v>5789</v>
      </c>
      <c r="G40" s="14">
        <v>6699</v>
      </c>
      <c r="H40" s="15">
        <v>6778</v>
      </c>
      <c r="I40" s="15">
        <v>6858</v>
      </c>
      <c r="J40" s="15">
        <v>7106</v>
      </c>
      <c r="K40" s="179">
        <v>7148</v>
      </c>
      <c r="L40" s="3">
        <v>6464</v>
      </c>
      <c r="M40" s="179">
        <v>6454</v>
      </c>
      <c r="N40" s="179">
        <v>6362</v>
      </c>
      <c r="O40" s="3">
        <v>6227</v>
      </c>
      <c r="P40" s="3">
        <v>6070</v>
      </c>
      <c r="Q40" s="3">
        <v>6139</v>
      </c>
      <c r="R40" s="39">
        <v>5864</v>
      </c>
      <c r="S40" s="3">
        <v>5646</v>
      </c>
    </row>
    <row r="41" spans="1:19" x14ac:dyDescent="0.2">
      <c r="A41" s="3" t="s">
        <v>26</v>
      </c>
      <c r="B41" s="578" t="s">
        <v>157</v>
      </c>
      <c r="C41" s="579"/>
      <c r="D41" s="13">
        <f>AVERAGE(Q41:S41)</f>
        <v>688.66666666666663</v>
      </c>
      <c r="E41" s="23"/>
      <c r="F41" s="14"/>
      <c r="G41" s="14"/>
      <c r="H41" s="15">
        <v>1006</v>
      </c>
      <c r="I41" s="15">
        <v>1086</v>
      </c>
      <c r="J41" s="15">
        <v>1166</v>
      </c>
      <c r="K41" s="179">
        <v>1208</v>
      </c>
      <c r="L41" s="3">
        <v>1016</v>
      </c>
      <c r="M41" s="179">
        <v>984</v>
      </c>
      <c r="N41" s="179">
        <v>977</v>
      </c>
      <c r="O41" s="3">
        <v>1012</v>
      </c>
      <c r="P41" s="3">
        <v>1024</v>
      </c>
      <c r="Q41" s="3">
        <v>966</v>
      </c>
      <c r="R41" s="39">
        <v>606</v>
      </c>
      <c r="S41" s="428">
        <v>494</v>
      </c>
    </row>
    <row r="42" spans="1:19" x14ac:dyDescent="0.2">
      <c r="A42" s="16"/>
      <c r="B42" s="48"/>
      <c r="C42" s="48"/>
      <c r="D42" s="13"/>
      <c r="E42" s="23"/>
      <c r="F42" s="45"/>
      <c r="G42" s="45"/>
      <c r="H42" s="46"/>
      <c r="I42" s="20"/>
      <c r="J42" s="20"/>
      <c r="M42" s="179"/>
      <c r="N42" s="179"/>
      <c r="S42" s="3"/>
    </row>
    <row r="43" spans="1:19" x14ac:dyDescent="0.2">
      <c r="A43" s="3" t="s">
        <v>27</v>
      </c>
      <c r="B43" s="578" t="s">
        <v>151</v>
      </c>
      <c r="C43" s="579"/>
      <c r="D43" s="13">
        <f>AVERAGE(Q43:S43)</f>
        <v>10387.333333333334</v>
      </c>
      <c r="E43" s="22"/>
      <c r="F43" s="14">
        <v>8631</v>
      </c>
      <c r="G43" s="14">
        <v>8461</v>
      </c>
      <c r="H43" s="15">
        <v>8402</v>
      </c>
      <c r="I43" s="15">
        <v>8432</v>
      </c>
      <c r="J43" s="15">
        <v>8279</v>
      </c>
      <c r="K43" s="179">
        <v>7907</v>
      </c>
      <c r="L43" s="179">
        <v>9496</v>
      </c>
      <c r="M43" s="179">
        <v>9712</v>
      </c>
      <c r="N43" s="179">
        <v>9445</v>
      </c>
      <c r="O43" s="3">
        <v>9515</v>
      </c>
      <c r="P43" s="3">
        <v>10450</v>
      </c>
      <c r="Q43" s="3">
        <v>10436</v>
      </c>
      <c r="R43" s="39">
        <v>10354</v>
      </c>
      <c r="S43" s="3">
        <v>10372</v>
      </c>
    </row>
    <row r="44" spans="1:19" x14ac:dyDescent="0.2">
      <c r="A44" s="3" t="s">
        <v>28</v>
      </c>
      <c r="B44" s="578" t="s">
        <v>151</v>
      </c>
      <c r="C44" s="579"/>
      <c r="D44" s="13">
        <f>AVERAGE(Q44:S44)</f>
        <v>8542.3333333333339</v>
      </c>
      <c r="E44" s="22"/>
      <c r="F44" s="14">
        <v>9258</v>
      </c>
      <c r="G44" s="14">
        <v>9472</v>
      </c>
      <c r="H44" s="15">
        <v>9739</v>
      </c>
      <c r="I44" s="15">
        <v>8631</v>
      </c>
      <c r="J44" s="15">
        <v>9879</v>
      </c>
      <c r="K44" s="179">
        <v>10095</v>
      </c>
      <c r="L44" s="179">
        <v>8724</v>
      </c>
      <c r="M44" s="179">
        <v>9046</v>
      </c>
      <c r="N44" s="179">
        <v>9062</v>
      </c>
      <c r="O44" s="3">
        <v>8603</v>
      </c>
      <c r="P44" s="3">
        <v>8137</v>
      </c>
      <c r="Q44" s="3">
        <v>8231</v>
      </c>
      <c r="R44" s="39">
        <v>8657</v>
      </c>
      <c r="S44" s="3">
        <v>8739</v>
      </c>
    </row>
    <row r="45" spans="1:19" x14ac:dyDescent="0.2">
      <c r="A45" s="3" t="s">
        <v>29</v>
      </c>
      <c r="B45" s="578" t="s">
        <v>61</v>
      </c>
      <c r="C45" s="579"/>
      <c r="D45" s="13">
        <f>AVERAGE(Q45:S45)</f>
        <v>10339</v>
      </c>
      <c r="E45" s="22"/>
      <c r="F45" s="14">
        <v>8850</v>
      </c>
      <c r="G45" s="14">
        <v>11200</v>
      </c>
      <c r="H45" s="15">
        <v>11309</v>
      </c>
      <c r="I45" s="15">
        <v>13631</v>
      </c>
      <c r="J45" s="15">
        <v>11367</v>
      </c>
      <c r="K45" s="179">
        <v>11293</v>
      </c>
      <c r="L45" s="179">
        <v>9001</v>
      </c>
      <c r="M45" s="179">
        <v>8775</v>
      </c>
      <c r="N45" s="179">
        <v>8628</v>
      </c>
      <c r="O45" s="3">
        <v>8566</v>
      </c>
      <c r="P45" s="3">
        <v>9334</v>
      </c>
      <c r="Q45" s="3">
        <v>10574</v>
      </c>
      <c r="R45" s="39">
        <v>10370</v>
      </c>
      <c r="S45" s="3">
        <v>10073</v>
      </c>
    </row>
    <row r="46" spans="1:19" x14ac:dyDescent="0.2">
      <c r="A46" s="16"/>
      <c r="B46" s="16"/>
      <c r="C46" s="16"/>
      <c r="D46" s="13"/>
      <c r="E46" s="23"/>
      <c r="F46" s="19"/>
      <c r="G46" s="19"/>
      <c r="H46" s="20"/>
      <c r="I46" s="20"/>
      <c r="J46" s="20"/>
      <c r="M46" s="179"/>
      <c r="N46" s="179"/>
      <c r="S46" s="3"/>
    </row>
    <row r="47" spans="1:19" x14ac:dyDescent="0.2">
      <c r="A47" s="3" t="s">
        <v>30</v>
      </c>
      <c r="B47" s="578" t="s">
        <v>62</v>
      </c>
      <c r="C47" s="579"/>
      <c r="D47" s="13">
        <f t="shared" ref="D47:D53" si="1">AVERAGE(Q47:S47)</f>
        <v>-171.66666666666666</v>
      </c>
      <c r="E47" s="22"/>
      <c r="F47" s="14">
        <v>-194</v>
      </c>
      <c r="G47" s="14">
        <v>-301</v>
      </c>
      <c r="H47" s="15">
        <v>-359</v>
      </c>
      <c r="I47" s="15">
        <v>-206</v>
      </c>
      <c r="J47" s="15">
        <v>-34</v>
      </c>
      <c r="K47" s="179">
        <v>20</v>
      </c>
      <c r="L47" s="179">
        <v>259</v>
      </c>
      <c r="M47" s="179">
        <v>266</v>
      </c>
      <c r="N47" s="179">
        <v>254</v>
      </c>
      <c r="O47" s="3">
        <v>247</v>
      </c>
      <c r="P47" s="56">
        <v>301</v>
      </c>
      <c r="Q47" s="56">
        <v>232</v>
      </c>
      <c r="R47" s="39">
        <v>-374</v>
      </c>
      <c r="S47" s="3">
        <v>-373</v>
      </c>
    </row>
    <row r="48" spans="1:19" x14ac:dyDescent="0.2">
      <c r="A48" s="3" t="s">
        <v>31</v>
      </c>
      <c r="B48" s="578" t="s">
        <v>62</v>
      </c>
      <c r="C48" s="579"/>
      <c r="D48" s="13">
        <f t="shared" si="1"/>
        <v>219.33333333333334</v>
      </c>
      <c r="E48" s="22"/>
      <c r="F48" s="14">
        <v>303</v>
      </c>
      <c r="G48" s="14">
        <v>148</v>
      </c>
      <c r="H48" s="15">
        <v>85</v>
      </c>
      <c r="I48" s="15">
        <v>224</v>
      </c>
      <c r="J48" s="15">
        <v>410</v>
      </c>
      <c r="K48" s="179">
        <v>451</v>
      </c>
      <c r="L48" s="179">
        <v>674</v>
      </c>
      <c r="M48" s="179">
        <v>680</v>
      </c>
      <c r="N48" s="179">
        <v>669</v>
      </c>
      <c r="O48" s="3">
        <v>663</v>
      </c>
      <c r="P48" s="56">
        <v>664</v>
      </c>
      <c r="Q48" s="56">
        <v>615</v>
      </c>
      <c r="R48" s="39">
        <v>13</v>
      </c>
      <c r="S48" s="3">
        <v>30</v>
      </c>
    </row>
    <row r="49" spans="1:19" x14ac:dyDescent="0.2">
      <c r="A49" s="3" t="s">
        <v>31</v>
      </c>
      <c r="B49" s="578" t="s">
        <v>63</v>
      </c>
      <c r="C49" s="579"/>
      <c r="D49" s="13">
        <f t="shared" si="1"/>
        <v>585.66666666666663</v>
      </c>
      <c r="E49" s="22"/>
      <c r="F49" s="14">
        <v>1039</v>
      </c>
      <c r="G49" s="14">
        <v>1089</v>
      </c>
      <c r="H49" s="15">
        <v>1050</v>
      </c>
      <c r="I49" s="15">
        <v>1097</v>
      </c>
      <c r="J49" s="15">
        <v>681</v>
      </c>
      <c r="K49" s="179">
        <v>703</v>
      </c>
      <c r="L49" s="179">
        <v>915</v>
      </c>
      <c r="M49" s="179">
        <v>919</v>
      </c>
      <c r="N49" s="179">
        <v>914</v>
      </c>
      <c r="O49" s="3">
        <v>894</v>
      </c>
      <c r="P49" s="56">
        <v>919</v>
      </c>
      <c r="Q49" s="56">
        <v>896</v>
      </c>
      <c r="R49" s="39">
        <v>510</v>
      </c>
      <c r="S49" s="3">
        <v>351</v>
      </c>
    </row>
    <row r="50" spans="1:19" x14ac:dyDescent="0.2">
      <c r="A50" s="3" t="s">
        <v>31</v>
      </c>
      <c r="B50" s="578" t="s">
        <v>64</v>
      </c>
      <c r="C50" s="579"/>
      <c r="D50" s="13">
        <f t="shared" si="1"/>
        <v>2169</v>
      </c>
      <c r="E50" s="22"/>
      <c r="F50" s="14">
        <v>2522</v>
      </c>
      <c r="G50" s="14">
        <v>2528</v>
      </c>
      <c r="H50" s="15">
        <v>2501</v>
      </c>
      <c r="I50" s="15">
        <v>2511</v>
      </c>
      <c r="J50" s="15">
        <v>1958</v>
      </c>
      <c r="K50" s="179">
        <v>1965</v>
      </c>
      <c r="L50" s="179">
        <v>2022</v>
      </c>
      <c r="M50" s="179">
        <v>1751</v>
      </c>
      <c r="N50" s="179">
        <v>1749</v>
      </c>
      <c r="O50" s="3">
        <v>1745</v>
      </c>
      <c r="P50" s="3">
        <v>2305</v>
      </c>
      <c r="Q50" s="3">
        <v>2484</v>
      </c>
      <c r="R50" s="39">
        <v>2215</v>
      </c>
      <c r="S50" s="3">
        <v>1808</v>
      </c>
    </row>
    <row r="51" spans="1:19" x14ac:dyDescent="0.2">
      <c r="A51" s="56" t="s">
        <v>68</v>
      </c>
      <c r="B51" s="578" t="s">
        <v>280</v>
      </c>
      <c r="C51" s="579"/>
      <c r="D51" s="13">
        <f t="shared" si="1"/>
        <v>4392</v>
      </c>
      <c r="E51" s="23"/>
      <c r="F51" s="14"/>
      <c r="G51" s="14">
        <v>4802</v>
      </c>
      <c r="H51" s="15">
        <v>4756</v>
      </c>
      <c r="I51" s="15">
        <v>4794</v>
      </c>
      <c r="J51" s="15">
        <v>5639</v>
      </c>
      <c r="K51" s="179">
        <v>4341</v>
      </c>
      <c r="L51" s="179">
        <v>4271</v>
      </c>
      <c r="M51" s="179">
        <v>4287</v>
      </c>
      <c r="N51" s="179">
        <v>4317</v>
      </c>
      <c r="O51" s="3">
        <v>4295</v>
      </c>
      <c r="P51" s="3">
        <v>4264</v>
      </c>
      <c r="Q51" s="3">
        <v>4257</v>
      </c>
      <c r="R51" s="39">
        <v>4462</v>
      </c>
      <c r="S51" s="3">
        <v>4457</v>
      </c>
    </row>
    <row r="52" spans="1:19" x14ac:dyDescent="0.2">
      <c r="A52" s="56" t="s">
        <v>69</v>
      </c>
      <c r="B52" s="578" t="s">
        <v>8</v>
      </c>
      <c r="C52" s="579"/>
      <c r="D52" s="13">
        <f t="shared" si="1"/>
        <v>3900</v>
      </c>
      <c r="E52" s="23"/>
      <c r="F52" s="14"/>
      <c r="G52" s="14">
        <v>3816</v>
      </c>
      <c r="H52" s="15">
        <v>3689</v>
      </c>
      <c r="I52" s="15">
        <v>3853</v>
      </c>
      <c r="J52" s="15">
        <v>4728</v>
      </c>
      <c r="K52" s="179">
        <v>3438</v>
      </c>
      <c r="L52" s="179">
        <v>3782</v>
      </c>
      <c r="M52" s="179">
        <v>3779</v>
      </c>
      <c r="N52" s="179">
        <v>3814</v>
      </c>
      <c r="O52" s="3">
        <v>3788</v>
      </c>
      <c r="P52" s="3">
        <v>3785</v>
      </c>
      <c r="Q52" s="3">
        <v>3766</v>
      </c>
      <c r="R52" s="39">
        <v>3970</v>
      </c>
      <c r="S52" s="3">
        <v>3964</v>
      </c>
    </row>
    <row r="53" spans="1:19" x14ac:dyDescent="0.2">
      <c r="A53" s="56" t="s">
        <v>70</v>
      </c>
      <c r="B53" s="578" t="s">
        <v>71</v>
      </c>
      <c r="C53" s="579"/>
      <c r="D53" s="13">
        <f t="shared" si="1"/>
        <v>1845.3333333333333</v>
      </c>
      <c r="E53" s="23"/>
      <c r="F53" s="14"/>
      <c r="G53" s="14">
        <v>3250</v>
      </c>
      <c r="H53" s="15">
        <v>2944</v>
      </c>
      <c r="I53" s="15">
        <v>2941</v>
      </c>
      <c r="J53" s="15">
        <v>2435</v>
      </c>
      <c r="K53" s="179">
        <v>2441</v>
      </c>
      <c r="L53" s="179">
        <v>2353</v>
      </c>
      <c r="M53" s="179">
        <v>1812</v>
      </c>
      <c r="N53" s="179">
        <v>1809</v>
      </c>
      <c r="O53" s="3">
        <v>1813</v>
      </c>
      <c r="P53" s="3">
        <v>1817</v>
      </c>
      <c r="Q53" s="3">
        <v>1888</v>
      </c>
      <c r="R53" s="39">
        <v>1808</v>
      </c>
      <c r="S53" s="3">
        <v>1840</v>
      </c>
    </row>
    <row r="54" spans="1:19" x14ac:dyDescent="0.2">
      <c r="A54" s="55"/>
      <c r="B54" s="52"/>
      <c r="C54" s="52"/>
      <c r="D54" s="13"/>
      <c r="E54" s="23"/>
      <c r="F54" s="53"/>
      <c r="G54" s="53"/>
      <c r="H54" s="54"/>
      <c r="I54" s="54"/>
      <c r="J54" s="20"/>
      <c r="M54" s="179"/>
      <c r="N54" s="179"/>
      <c r="S54" s="3"/>
    </row>
    <row r="55" spans="1:19" x14ac:dyDescent="0.2">
      <c r="A55" s="56" t="s">
        <v>194</v>
      </c>
      <c r="B55" s="578" t="s">
        <v>73</v>
      </c>
      <c r="C55" s="579"/>
      <c r="D55" s="13">
        <f>AVERAGE(Q55:S55)</f>
        <v>30247.333333333332</v>
      </c>
      <c r="E55" s="23"/>
      <c r="F55" s="14"/>
      <c r="G55" s="14"/>
      <c r="H55" s="15">
        <v>30395</v>
      </c>
      <c r="I55" s="15">
        <v>31161</v>
      </c>
      <c r="J55" s="15">
        <v>31170</v>
      </c>
      <c r="K55" s="179">
        <v>31170</v>
      </c>
      <c r="L55" s="179">
        <v>30108</v>
      </c>
      <c r="M55" s="179">
        <v>30108</v>
      </c>
      <c r="N55" s="179">
        <v>30108</v>
      </c>
      <c r="O55" s="3">
        <v>30108</v>
      </c>
      <c r="P55" s="3">
        <v>30474</v>
      </c>
      <c r="Q55" s="3">
        <v>30411</v>
      </c>
      <c r="R55" s="39">
        <v>30186</v>
      </c>
      <c r="S55" s="3">
        <v>30145</v>
      </c>
    </row>
    <row r="56" spans="1:19" x14ac:dyDescent="0.2">
      <c r="A56" s="56" t="s">
        <v>74</v>
      </c>
      <c r="B56" s="578" t="s">
        <v>73</v>
      </c>
      <c r="C56" s="579"/>
      <c r="D56" s="13">
        <f>AVERAGE(Q56:S56)</f>
        <v>39382.333333333336</v>
      </c>
      <c r="E56" s="23"/>
      <c r="F56" s="14"/>
      <c r="G56" s="14"/>
      <c r="H56" s="15">
        <v>30641</v>
      </c>
      <c r="I56" s="15">
        <v>31312</v>
      </c>
      <c r="J56" s="15">
        <v>31318</v>
      </c>
      <c r="K56" s="179">
        <v>31318</v>
      </c>
      <c r="L56" s="179">
        <v>30244</v>
      </c>
      <c r="M56" s="179">
        <v>30244</v>
      </c>
      <c r="N56" s="179">
        <v>30244</v>
      </c>
      <c r="O56" s="3">
        <v>30244</v>
      </c>
      <c r="P56" s="3">
        <v>31376</v>
      </c>
      <c r="Q56" s="3">
        <v>37026</v>
      </c>
      <c r="R56" s="39">
        <v>40581</v>
      </c>
      <c r="S56" s="3">
        <v>40540</v>
      </c>
    </row>
    <row r="57" spans="1:19" x14ac:dyDescent="0.2">
      <c r="A57" s="56" t="s">
        <v>77</v>
      </c>
      <c r="B57" s="578" t="s">
        <v>78</v>
      </c>
      <c r="C57" s="579"/>
      <c r="D57" s="13">
        <f>AVERAGE(Q57:S57)</f>
        <v>56605.333333333336</v>
      </c>
      <c r="E57" s="23"/>
      <c r="F57" s="14"/>
      <c r="G57" s="14">
        <v>49641</v>
      </c>
      <c r="H57" s="15">
        <v>51333</v>
      </c>
      <c r="I57" s="15">
        <v>53357</v>
      </c>
      <c r="J57" s="15">
        <v>53283</v>
      </c>
      <c r="K57" s="179">
        <v>53283</v>
      </c>
      <c r="L57" s="179">
        <v>52187</v>
      </c>
      <c r="M57" s="179">
        <v>52187</v>
      </c>
      <c r="N57" s="179">
        <v>52187</v>
      </c>
      <c r="O57" s="3">
        <v>52187</v>
      </c>
      <c r="P57" s="3">
        <v>52425</v>
      </c>
      <c r="Q57" s="3">
        <v>56769</v>
      </c>
      <c r="R57" s="39">
        <v>56544</v>
      </c>
      <c r="S57" s="3">
        <v>56503</v>
      </c>
    </row>
    <row r="58" spans="1:19" x14ac:dyDescent="0.2">
      <c r="A58" s="56" t="s">
        <v>79</v>
      </c>
      <c r="B58" s="578" t="s">
        <v>81</v>
      </c>
      <c r="C58" s="579"/>
      <c r="D58" s="13">
        <f>AVERAGE(Q58:S58)</f>
        <v>26834.666666666668</v>
      </c>
      <c r="E58" s="23"/>
      <c r="F58" s="14"/>
      <c r="G58" s="14"/>
      <c r="H58" s="15">
        <v>24569</v>
      </c>
      <c r="I58" s="15">
        <v>24756</v>
      </c>
      <c r="J58" s="15">
        <v>24625</v>
      </c>
      <c r="K58" s="179">
        <f>(28731+22465+22679)/3</f>
        <v>24625</v>
      </c>
      <c r="L58" s="179">
        <f>(27428+21282+21562)/3</f>
        <v>23424</v>
      </c>
      <c r="M58" s="179">
        <f>(27428+28596+21562)/3</f>
        <v>25862</v>
      </c>
      <c r="N58" s="179">
        <f>(27428+28596+21562)/3</f>
        <v>25862</v>
      </c>
      <c r="O58" s="3">
        <v>25862</v>
      </c>
      <c r="P58" s="3">
        <v>27186</v>
      </c>
      <c r="Q58" s="3">
        <v>26998</v>
      </c>
      <c r="R58" s="39">
        <v>26788</v>
      </c>
      <c r="S58" s="3">
        <v>26718</v>
      </c>
    </row>
    <row r="59" spans="1:19" x14ac:dyDescent="0.2">
      <c r="A59" s="55"/>
      <c r="B59" s="52"/>
      <c r="C59" s="52"/>
      <c r="D59" s="13"/>
      <c r="E59" s="23"/>
      <c r="F59" s="53"/>
      <c r="G59" s="53"/>
      <c r="H59" s="54"/>
      <c r="I59" s="54"/>
      <c r="J59" s="20"/>
      <c r="K59" s="179"/>
      <c r="M59" s="179"/>
      <c r="N59" s="179"/>
      <c r="S59" s="3"/>
    </row>
    <row r="60" spans="1:19" x14ac:dyDescent="0.2">
      <c r="A60" s="56" t="s">
        <v>82</v>
      </c>
      <c r="B60" s="578" t="s">
        <v>84</v>
      </c>
      <c r="C60" s="579"/>
      <c r="D60" s="13">
        <f>AVERAGE(Q60:S60)</f>
        <v>67046.666666666672</v>
      </c>
      <c r="E60" s="23"/>
      <c r="F60" s="14"/>
      <c r="G60" s="14">
        <v>55989</v>
      </c>
      <c r="H60" s="15">
        <v>66155</v>
      </c>
      <c r="I60" s="15">
        <v>64651</v>
      </c>
      <c r="J60" s="15">
        <v>62873</v>
      </c>
      <c r="K60" s="179">
        <v>62873</v>
      </c>
      <c r="L60" s="179">
        <v>61372</v>
      </c>
      <c r="M60" s="179">
        <v>61372</v>
      </c>
      <c r="N60" s="179">
        <v>63658</v>
      </c>
      <c r="O60" s="3">
        <v>63658</v>
      </c>
      <c r="P60" s="3">
        <v>65295</v>
      </c>
      <c r="Q60" s="3">
        <v>68276</v>
      </c>
      <c r="R60" s="39">
        <v>66587</v>
      </c>
      <c r="S60" s="3">
        <v>66277</v>
      </c>
    </row>
    <row r="61" spans="1:19" x14ac:dyDescent="0.2">
      <c r="A61" s="55"/>
      <c r="B61" s="416"/>
      <c r="C61" s="416"/>
      <c r="D61" s="23"/>
      <c r="E61" s="23"/>
      <c r="F61" s="53"/>
      <c r="G61" s="53"/>
      <c r="H61" s="54"/>
      <c r="I61" s="54"/>
      <c r="J61" s="54"/>
      <c r="K61" s="315"/>
      <c r="L61" s="378"/>
      <c r="M61" s="315"/>
      <c r="N61" s="315"/>
      <c r="S61" s="3"/>
    </row>
    <row r="62" spans="1:19" x14ac:dyDescent="0.2">
      <c r="A62" s="56" t="s">
        <v>364</v>
      </c>
      <c r="B62" s="578"/>
      <c r="C62" s="579"/>
      <c r="D62" s="13"/>
      <c r="E62" s="23"/>
      <c r="F62" s="14"/>
      <c r="G62" s="14"/>
      <c r="H62" s="15"/>
      <c r="I62" s="15"/>
      <c r="J62" s="15"/>
      <c r="K62" s="179"/>
      <c r="L62" s="179"/>
      <c r="M62" s="179"/>
      <c r="N62" s="179"/>
      <c r="O62" s="3"/>
      <c r="P62" s="3"/>
      <c r="Q62" s="3"/>
      <c r="R62" s="39"/>
      <c r="S62" s="3"/>
    </row>
    <row r="63" spans="1:19" x14ac:dyDescent="0.2">
      <c r="A63" s="55"/>
      <c r="B63" s="416"/>
      <c r="C63" s="416"/>
      <c r="D63" s="23"/>
      <c r="E63" s="23"/>
      <c r="F63" s="53"/>
      <c r="G63" s="53"/>
      <c r="H63" s="54"/>
      <c r="I63" s="54"/>
      <c r="J63" s="54"/>
      <c r="K63" s="315"/>
      <c r="L63" s="378"/>
      <c r="M63" s="315"/>
      <c r="N63" s="315"/>
      <c r="S63" s="3"/>
    </row>
    <row r="64" spans="1:19" x14ac:dyDescent="0.2">
      <c r="A64" s="56" t="s">
        <v>360</v>
      </c>
      <c r="B64" s="10"/>
      <c r="C64" s="10"/>
      <c r="D64" s="13">
        <v>50</v>
      </c>
      <c r="E64" s="23"/>
      <c r="F64" s="14"/>
      <c r="G64" s="14"/>
      <c r="H64" s="15"/>
      <c r="I64" s="15"/>
      <c r="J64" s="56"/>
      <c r="K64" s="179"/>
      <c r="L64" s="3"/>
      <c r="M64" s="179"/>
      <c r="N64" s="179"/>
      <c r="O64" s="3"/>
      <c r="P64" s="3"/>
      <c r="Q64" s="3"/>
      <c r="R64" s="39"/>
      <c r="S64" s="3"/>
    </row>
    <row r="65" spans="1:20" x14ac:dyDescent="0.2">
      <c r="A65" s="55"/>
      <c r="B65" s="52"/>
      <c r="C65" s="52"/>
      <c r="D65" s="23"/>
      <c r="E65" s="23"/>
      <c r="F65" s="53"/>
      <c r="G65" s="53"/>
      <c r="H65" s="54"/>
      <c r="I65" s="54"/>
      <c r="J65" s="72"/>
      <c r="K65" s="378"/>
      <c r="M65" s="378"/>
      <c r="N65" s="378"/>
    </row>
    <row r="66" spans="1:20" ht="15" x14ac:dyDescent="0.25">
      <c r="A66" s="4" t="s">
        <v>3</v>
      </c>
      <c r="C66" s="4" t="s">
        <v>90</v>
      </c>
      <c r="D66" s="9" t="s">
        <v>37</v>
      </c>
      <c r="E66" s="5"/>
      <c r="F66" s="11">
        <v>2010</v>
      </c>
      <c r="G66" s="11">
        <v>2011</v>
      </c>
      <c r="H66" s="12">
        <v>2012</v>
      </c>
      <c r="I66" s="12">
        <v>2013</v>
      </c>
      <c r="J66" s="12">
        <v>2014</v>
      </c>
      <c r="K66" s="12">
        <v>2015</v>
      </c>
      <c r="L66" s="12">
        <v>2017</v>
      </c>
      <c r="M66" s="12">
        <v>2018</v>
      </c>
      <c r="N66" s="12">
        <v>2019</v>
      </c>
      <c r="O66" s="12">
        <v>2020</v>
      </c>
      <c r="P66" s="12">
        <v>2021</v>
      </c>
      <c r="Q66" s="12">
        <v>2022</v>
      </c>
      <c r="R66" s="12">
        <v>2023</v>
      </c>
      <c r="S66" s="12">
        <v>2024</v>
      </c>
    </row>
    <row r="67" spans="1:20" x14ac:dyDescent="0.2">
      <c r="A67" s="24" t="s">
        <v>86</v>
      </c>
      <c r="B67" s="10" t="s">
        <v>127</v>
      </c>
      <c r="C67" s="70">
        <v>54.8</v>
      </c>
      <c r="D67" s="13">
        <f>AVERAGE(Q67:S67)</f>
        <v>3782.3333333333335</v>
      </c>
      <c r="F67" s="3"/>
      <c r="G67" s="15">
        <v>3367</v>
      </c>
      <c r="H67" s="15">
        <v>3441</v>
      </c>
      <c r="I67" s="15">
        <v>3500</v>
      </c>
      <c r="J67" s="15">
        <v>3181</v>
      </c>
      <c r="K67" s="179">
        <v>3245</v>
      </c>
      <c r="L67" s="179">
        <v>3233</v>
      </c>
      <c r="M67" s="179">
        <v>3632</v>
      </c>
      <c r="N67" s="179">
        <v>3827</v>
      </c>
      <c r="O67" s="3">
        <v>3732</v>
      </c>
      <c r="P67" s="3">
        <v>3677</v>
      </c>
      <c r="Q67" s="3">
        <v>3831</v>
      </c>
      <c r="R67" s="39">
        <v>3818</v>
      </c>
      <c r="S67" s="3">
        <v>3698</v>
      </c>
    </row>
    <row r="68" spans="1:20" x14ac:dyDescent="0.2">
      <c r="A68" s="3" t="s">
        <v>86</v>
      </c>
      <c r="B68" s="10" t="s">
        <v>128</v>
      </c>
      <c r="C68" s="70">
        <v>69.400000000000006</v>
      </c>
      <c r="D68" s="13">
        <f>AVERAGE(Q68:S68)</f>
        <v>4957.333333333333</v>
      </c>
      <c r="F68" s="25">
        <v>4161</v>
      </c>
      <c r="G68" s="14">
        <v>4185</v>
      </c>
      <c r="H68" s="26">
        <v>4437</v>
      </c>
      <c r="I68" s="15">
        <v>4476</v>
      </c>
      <c r="J68" s="15">
        <v>4201</v>
      </c>
      <c r="K68" s="179">
        <v>4271</v>
      </c>
      <c r="L68" s="179">
        <v>4307</v>
      </c>
      <c r="M68" s="179">
        <v>4805</v>
      </c>
      <c r="N68" s="179">
        <v>5016</v>
      </c>
      <c r="O68" s="3">
        <v>4872</v>
      </c>
      <c r="P68" s="3">
        <v>4825</v>
      </c>
      <c r="Q68" s="3">
        <v>4989</v>
      </c>
      <c r="R68" s="39">
        <v>4981</v>
      </c>
      <c r="S68" s="3">
        <v>4902</v>
      </c>
    </row>
    <row r="69" spans="1:20" x14ac:dyDescent="0.2">
      <c r="A69" s="24" t="s">
        <v>86</v>
      </c>
      <c r="B69" s="10" t="s">
        <v>129</v>
      </c>
      <c r="C69" s="70">
        <v>54.8</v>
      </c>
      <c r="D69" s="13">
        <f>AVERAGE(Q69:S69)</f>
        <v>3530.3333333333335</v>
      </c>
      <c r="E69" s="5"/>
      <c r="F69" s="14">
        <v>3231</v>
      </c>
      <c r="G69" s="14">
        <v>3330</v>
      </c>
      <c r="H69" s="15">
        <v>3286</v>
      </c>
      <c r="I69" s="15">
        <v>3581</v>
      </c>
      <c r="J69" s="15">
        <v>3134</v>
      </c>
      <c r="K69" s="179">
        <v>3203</v>
      </c>
      <c r="L69" s="179">
        <v>3023</v>
      </c>
      <c r="M69" s="179">
        <v>3362</v>
      </c>
      <c r="N69" s="179">
        <v>3596</v>
      </c>
      <c r="O69" s="3">
        <v>3512</v>
      </c>
      <c r="P69" s="3">
        <v>3564</v>
      </c>
      <c r="Q69" s="3">
        <v>3586</v>
      </c>
      <c r="R69" s="39">
        <v>3561</v>
      </c>
      <c r="S69" s="3">
        <v>3444</v>
      </c>
    </row>
    <row r="70" spans="1:20" x14ac:dyDescent="0.2">
      <c r="A70" s="24" t="s">
        <v>86</v>
      </c>
      <c r="B70" s="10" t="s">
        <v>130</v>
      </c>
      <c r="C70" s="70">
        <v>62.1</v>
      </c>
      <c r="D70" s="13">
        <f>AVERAGE(Q70:S70)</f>
        <v>4231</v>
      </c>
      <c r="F70" s="25">
        <v>3798</v>
      </c>
      <c r="G70" s="14">
        <v>3928</v>
      </c>
      <c r="H70" s="26">
        <v>3917</v>
      </c>
      <c r="I70" s="15">
        <v>4252</v>
      </c>
      <c r="J70" s="15">
        <v>3800</v>
      </c>
      <c r="K70" s="179">
        <v>3874</v>
      </c>
      <c r="L70" s="179">
        <v>3672</v>
      </c>
      <c r="M70" s="179">
        <v>4034</v>
      </c>
      <c r="N70" s="179">
        <v>4282</v>
      </c>
      <c r="O70" s="3">
        <v>4193</v>
      </c>
      <c r="P70" s="3">
        <v>4230</v>
      </c>
      <c r="Q70" s="3">
        <v>4227</v>
      </c>
      <c r="R70" s="39">
        <v>4208</v>
      </c>
      <c r="S70" s="3">
        <v>4258</v>
      </c>
    </row>
    <row r="71" spans="1:20" x14ac:dyDescent="0.2">
      <c r="A71" s="16"/>
      <c r="B71" s="17"/>
      <c r="C71" s="38"/>
      <c r="D71" s="13"/>
      <c r="E71" s="5"/>
      <c r="F71" s="19"/>
      <c r="G71" s="19"/>
      <c r="H71" s="20"/>
      <c r="I71" s="20"/>
      <c r="J71" s="72"/>
      <c r="K71" s="179"/>
      <c r="M71" s="179"/>
      <c r="N71" s="179"/>
      <c r="S71" s="3"/>
    </row>
    <row r="72" spans="1:20" x14ac:dyDescent="0.2">
      <c r="A72" s="3" t="s">
        <v>118</v>
      </c>
      <c r="B72" s="10" t="s">
        <v>87</v>
      </c>
      <c r="C72" s="70">
        <v>46.1</v>
      </c>
      <c r="D72" s="13">
        <f>AVERAGE(Q72:S72)</f>
        <v>2503.6666666666665</v>
      </c>
      <c r="F72" s="25">
        <v>2309</v>
      </c>
      <c r="G72" s="14">
        <v>2436</v>
      </c>
      <c r="H72" s="26">
        <v>2326</v>
      </c>
      <c r="I72" s="15">
        <v>2404</v>
      </c>
      <c r="J72" s="15">
        <v>1714</v>
      </c>
      <c r="K72" s="179">
        <v>1764</v>
      </c>
      <c r="L72" s="179">
        <v>1975</v>
      </c>
      <c r="M72" s="179">
        <v>1930</v>
      </c>
      <c r="N72" s="179">
        <v>1927</v>
      </c>
      <c r="O72" s="3">
        <v>1940</v>
      </c>
      <c r="P72" s="3">
        <v>2208</v>
      </c>
      <c r="Q72" s="3">
        <v>2428</v>
      </c>
      <c r="R72" s="39">
        <v>2505</v>
      </c>
      <c r="S72" s="3">
        <v>2578</v>
      </c>
    </row>
    <row r="73" spans="1:20" x14ac:dyDescent="0.2">
      <c r="A73" s="3" t="s">
        <v>119</v>
      </c>
      <c r="B73" s="10" t="s">
        <v>196</v>
      </c>
      <c r="C73" s="70">
        <v>9.1</v>
      </c>
      <c r="D73" s="13"/>
      <c r="F73" s="25"/>
      <c r="G73" s="14"/>
      <c r="H73" s="26"/>
      <c r="I73" s="15"/>
      <c r="J73" s="15"/>
      <c r="K73" s="179"/>
      <c r="L73" s="179"/>
      <c r="M73" s="179"/>
      <c r="N73" s="179"/>
      <c r="O73" s="179"/>
      <c r="P73" s="179"/>
      <c r="Q73" s="179"/>
      <c r="R73" s="39"/>
      <c r="S73" s="3"/>
    </row>
    <row r="74" spans="1:20" x14ac:dyDescent="0.2">
      <c r="A74" s="16"/>
      <c r="B74" s="17"/>
      <c r="C74" s="38"/>
      <c r="D74" s="13"/>
      <c r="E74" s="5"/>
      <c r="F74" s="19"/>
      <c r="G74" s="19"/>
      <c r="H74" s="20"/>
      <c r="I74" s="20"/>
      <c r="J74" s="55"/>
      <c r="K74" s="380"/>
      <c r="L74" s="380"/>
      <c r="M74" s="179"/>
      <c r="N74" s="179"/>
      <c r="S74" s="3"/>
    </row>
    <row r="75" spans="1:20" x14ac:dyDescent="0.2">
      <c r="A75" s="3" t="s">
        <v>163</v>
      </c>
      <c r="B75" s="10" t="s">
        <v>181</v>
      </c>
      <c r="C75" s="70">
        <v>40.200000000000003</v>
      </c>
      <c r="D75" s="13">
        <f>AVERAGE(Q75:S75)</f>
        <v>1444</v>
      </c>
      <c r="F75" s="14">
        <v>2710</v>
      </c>
      <c r="G75" s="14">
        <v>2045</v>
      </c>
      <c r="H75" s="15">
        <v>1998</v>
      </c>
      <c r="I75" s="15">
        <v>1805</v>
      </c>
      <c r="J75" s="15">
        <v>1187</v>
      </c>
      <c r="K75" s="179">
        <v>1139</v>
      </c>
      <c r="L75" s="179">
        <v>1140</v>
      </c>
      <c r="M75" s="179">
        <v>1048</v>
      </c>
      <c r="N75" s="179">
        <v>1390</v>
      </c>
      <c r="O75" s="3">
        <v>1380</v>
      </c>
      <c r="P75" s="56">
        <v>2356</v>
      </c>
      <c r="Q75" s="74">
        <v>2272</v>
      </c>
      <c r="R75" s="39">
        <v>1018</v>
      </c>
      <c r="S75" s="3">
        <v>1042</v>
      </c>
    </row>
    <row r="76" spans="1:20" x14ac:dyDescent="0.2">
      <c r="A76" s="3" t="s">
        <v>164</v>
      </c>
      <c r="B76" s="10"/>
      <c r="C76" s="70">
        <v>25.6</v>
      </c>
      <c r="D76" s="13"/>
      <c r="F76" s="14"/>
      <c r="G76" s="14"/>
      <c r="H76" s="15"/>
      <c r="I76" s="15"/>
      <c r="J76" s="15"/>
      <c r="K76" s="179"/>
      <c r="L76" s="179"/>
      <c r="M76" s="179"/>
      <c r="N76" s="179"/>
      <c r="O76" s="3"/>
      <c r="R76" s="39"/>
      <c r="S76" s="3"/>
    </row>
    <row r="77" spans="1:20" x14ac:dyDescent="0.2">
      <c r="A77" s="3" t="s">
        <v>165</v>
      </c>
      <c r="B77" s="10"/>
      <c r="C77" s="70">
        <v>16.399999999999999</v>
      </c>
      <c r="D77" s="13"/>
      <c r="F77" s="14"/>
      <c r="G77" s="14"/>
      <c r="H77" s="15"/>
      <c r="I77" s="15"/>
      <c r="J77" s="15"/>
      <c r="K77" s="179"/>
      <c r="L77" s="179"/>
      <c r="M77" s="179"/>
      <c r="N77" s="179"/>
      <c r="O77" s="3"/>
      <c r="P77" s="3"/>
      <c r="Q77" s="39"/>
      <c r="R77" s="39"/>
      <c r="S77" s="3"/>
    </row>
    <row r="78" spans="1:20" x14ac:dyDescent="0.2">
      <c r="A78" s="3" t="s">
        <v>167</v>
      </c>
      <c r="B78" s="10"/>
      <c r="C78" s="70">
        <v>9.1</v>
      </c>
      <c r="D78" s="13"/>
      <c r="F78" s="14"/>
      <c r="G78" s="14"/>
      <c r="H78" s="15"/>
      <c r="I78" s="15"/>
      <c r="J78" s="15"/>
      <c r="K78" s="179"/>
      <c r="L78" s="179"/>
      <c r="M78" s="179"/>
      <c r="N78" s="179"/>
      <c r="O78" s="3"/>
      <c r="S78" s="3"/>
    </row>
    <row r="79" spans="1:20" x14ac:dyDescent="0.2">
      <c r="A79" s="60"/>
      <c r="B79" s="10"/>
      <c r="C79" s="70"/>
      <c r="D79" s="13"/>
      <c r="F79" s="14"/>
      <c r="G79" s="14"/>
      <c r="H79" s="15"/>
      <c r="I79" s="15"/>
      <c r="J79" s="15"/>
      <c r="K79" s="179"/>
      <c r="L79" s="179">
        <v>1633</v>
      </c>
      <c r="M79" s="381">
        <v>1519</v>
      </c>
      <c r="N79" s="382">
        <v>1987</v>
      </c>
      <c r="O79" s="3">
        <v>1910</v>
      </c>
      <c r="P79" s="3">
        <v>2102</v>
      </c>
      <c r="Q79" s="3">
        <v>2232</v>
      </c>
      <c r="R79" s="39"/>
      <c r="S79" s="3"/>
      <c r="T79" s="3" t="s">
        <v>366</v>
      </c>
    </row>
    <row r="80" spans="1:20" x14ac:dyDescent="0.2">
      <c r="A80" s="3" t="s">
        <v>362</v>
      </c>
      <c r="B80" s="10" t="s">
        <v>370</v>
      </c>
      <c r="C80" s="70">
        <v>25.6</v>
      </c>
      <c r="D80" s="13">
        <f>AVERAGE(Q80:S80)</f>
        <v>1154.051282051282</v>
      </c>
      <c r="F80" s="14"/>
      <c r="G80" s="14"/>
      <c r="H80" s="15"/>
      <c r="I80" s="15"/>
      <c r="J80" s="15"/>
      <c r="K80" s="15"/>
      <c r="L80" s="179">
        <f>L79/26*12</f>
        <v>753.69230769230762</v>
      </c>
      <c r="M80" s="381">
        <f t="shared" ref="M80" si="2">M79/26*12</f>
        <v>701.07692307692309</v>
      </c>
      <c r="N80" s="382">
        <f>N79/26*12</f>
        <v>917.07692307692309</v>
      </c>
      <c r="O80" s="426">
        <f>O79/26*12</f>
        <v>881.53846153846166</v>
      </c>
      <c r="P80" s="426">
        <f>P79/26*12</f>
        <v>970.15384615384608</v>
      </c>
      <c r="Q80" s="426">
        <f>Q79/26*12</f>
        <v>1030.1538461538462</v>
      </c>
      <c r="R80" s="39">
        <v>1198</v>
      </c>
      <c r="S80" s="3">
        <v>1234</v>
      </c>
      <c r="T80" s="3" t="s">
        <v>367</v>
      </c>
    </row>
    <row r="81" spans="1:19" x14ac:dyDescent="0.2">
      <c r="A81" s="60"/>
      <c r="B81" s="10"/>
      <c r="C81" s="70"/>
      <c r="D81" s="13"/>
      <c r="F81" s="14"/>
      <c r="G81" s="14"/>
      <c r="H81" s="15"/>
      <c r="I81" s="15"/>
      <c r="J81" s="15"/>
      <c r="K81" s="179"/>
      <c r="L81" s="179"/>
      <c r="M81" s="179"/>
      <c r="N81" s="179"/>
      <c r="O81" s="3"/>
      <c r="P81" s="3"/>
      <c r="Q81" s="3"/>
      <c r="R81" s="39"/>
      <c r="S81" s="3"/>
    </row>
    <row r="82" spans="1:19" x14ac:dyDescent="0.2">
      <c r="A82" s="3" t="s">
        <v>121</v>
      </c>
      <c r="B82" s="10" t="s">
        <v>152</v>
      </c>
      <c r="C82" s="70">
        <v>20.100000000000001</v>
      </c>
      <c r="D82" s="13">
        <f>AVERAGE(Q82:S82)</f>
        <v>1168.6666666666667</v>
      </c>
      <c r="F82" s="25">
        <v>881</v>
      </c>
      <c r="G82" s="14">
        <v>1061</v>
      </c>
      <c r="H82" s="26">
        <v>922</v>
      </c>
      <c r="I82" s="15">
        <v>1051</v>
      </c>
      <c r="J82" s="15">
        <v>847</v>
      </c>
      <c r="K82" s="179">
        <v>829</v>
      </c>
      <c r="L82" s="179">
        <v>886</v>
      </c>
      <c r="M82" s="179">
        <v>1037</v>
      </c>
      <c r="N82" s="179">
        <v>939</v>
      </c>
      <c r="O82" s="3">
        <v>970</v>
      </c>
      <c r="P82" s="3">
        <v>926</v>
      </c>
      <c r="Q82" s="3">
        <v>1237</v>
      </c>
      <c r="R82" s="39">
        <v>1111</v>
      </c>
      <c r="S82" s="3">
        <v>1158</v>
      </c>
    </row>
    <row r="83" spans="1:19" x14ac:dyDescent="0.2">
      <c r="A83" s="3"/>
      <c r="B83" s="10"/>
      <c r="C83" s="70"/>
      <c r="D83" s="13"/>
      <c r="F83" s="25"/>
      <c r="G83" s="14"/>
      <c r="H83" s="26"/>
      <c r="I83" s="15"/>
      <c r="J83" s="15"/>
      <c r="K83" s="179"/>
      <c r="L83" s="179"/>
      <c r="M83" s="179"/>
      <c r="N83" s="179"/>
      <c r="O83" s="3"/>
      <c r="P83" s="3"/>
      <c r="Q83" s="3"/>
      <c r="R83" s="39"/>
      <c r="S83" s="3"/>
    </row>
    <row r="84" spans="1:19" x14ac:dyDescent="0.2">
      <c r="A84" s="3" t="s">
        <v>120</v>
      </c>
      <c r="B84" s="10" t="s">
        <v>166</v>
      </c>
      <c r="C84" s="70">
        <v>9.1</v>
      </c>
      <c r="D84" s="13"/>
      <c r="F84" s="25"/>
      <c r="G84" s="14"/>
      <c r="H84" s="26"/>
      <c r="I84" s="15"/>
      <c r="J84" s="15"/>
      <c r="K84" s="179"/>
      <c r="L84" s="179"/>
      <c r="M84" s="179"/>
      <c r="N84" s="179"/>
      <c r="O84" s="3"/>
      <c r="P84" s="3"/>
      <c r="Q84" s="3"/>
      <c r="R84" s="39"/>
      <c r="S84" s="3"/>
    </row>
    <row r="85" spans="1:19" x14ac:dyDescent="0.2">
      <c r="A85" s="16"/>
      <c r="B85" s="17"/>
      <c r="C85" s="38"/>
      <c r="D85" s="13"/>
      <c r="E85" s="5"/>
      <c r="F85" s="19"/>
      <c r="G85" s="19"/>
      <c r="H85" s="20"/>
      <c r="I85" s="20"/>
      <c r="J85" s="55"/>
      <c r="K85" s="179"/>
      <c r="L85" s="179"/>
      <c r="M85" s="179"/>
      <c r="N85" s="179"/>
      <c r="O85" s="3"/>
      <c r="P85" s="3"/>
      <c r="Q85" s="3"/>
      <c r="R85" s="39"/>
      <c r="S85" s="3"/>
    </row>
    <row r="86" spans="1:19" x14ac:dyDescent="0.2">
      <c r="A86" s="3" t="s">
        <v>39</v>
      </c>
      <c r="B86" s="48" t="s">
        <v>66</v>
      </c>
      <c r="C86" s="80">
        <v>0</v>
      </c>
      <c r="D86" s="13">
        <f>AVERAGE(Q86:S86)</f>
        <v>-195</v>
      </c>
      <c r="F86" s="25">
        <v>-26</v>
      </c>
      <c r="G86" s="45">
        <v>2398</v>
      </c>
      <c r="H86" s="47">
        <v>173</v>
      </c>
      <c r="I86" s="35">
        <v>203</v>
      </c>
      <c r="J86" s="15">
        <v>205</v>
      </c>
      <c r="K86" s="179">
        <v>182</v>
      </c>
      <c r="L86" s="179">
        <v>-24</v>
      </c>
      <c r="M86" s="179">
        <v>-41</v>
      </c>
      <c r="N86" s="391">
        <v>-973</v>
      </c>
      <c r="O86" s="3">
        <v>-820</v>
      </c>
      <c r="P86" s="3">
        <v>-729</v>
      </c>
      <c r="Q86" s="428">
        <v>-195</v>
      </c>
      <c r="R86" s="39">
        <v>-151</v>
      </c>
      <c r="S86" s="3">
        <v>-239</v>
      </c>
    </row>
    <row r="87" spans="1:19" x14ac:dyDescent="0.2">
      <c r="A87" s="56" t="s">
        <v>88</v>
      </c>
      <c r="B87" s="10" t="s">
        <v>89</v>
      </c>
      <c r="C87" s="78">
        <v>6</v>
      </c>
      <c r="D87" s="13">
        <f>AVERAGE(Q87:S87)</f>
        <v>120.33333333333333</v>
      </c>
      <c r="F87" s="25"/>
      <c r="G87" s="25">
        <v>1861</v>
      </c>
      <c r="H87" s="26">
        <v>1040</v>
      </c>
      <c r="I87" s="44">
        <v>1145</v>
      </c>
      <c r="J87" s="15">
        <v>845</v>
      </c>
      <c r="K87" s="179">
        <v>1004</v>
      </c>
      <c r="L87" s="179">
        <v>1233</v>
      </c>
      <c r="M87" s="179">
        <v>-7</v>
      </c>
      <c r="N87" s="391">
        <v>-196</v>
      </c>
      <c r="O87" s="3">
        <v>-325</v>
      </c>
      <c r="P87" s="3">
        <v>-345</v>
      </c>
      <c r="Q87" s="3">
        <v>80</v>
      </c>
      <c r="R87" s="39">
        <v>101</v>
      </c>
      <c r="S87" s="3">
        <v>180</v>
      </c>
    </row>
    <row r="88" spans="1:19" x14ac:dyDescent="0.2">
      <c r="A88" s="16"/>
      <c r="B88" s="17"/>
      <c r="C88" s="38"/>
      <c r="D88" s="13"/>
      <c r="E88" s="5"/>
      <c r="F88" s="19"/>
      <c r="G88" s="19"/>
      <c r="H88" s="20"/>
      <c r="I88" s="20"/>
      <c r="J88" s="55"/>
      <c r="K88" s="179"/>
      <c r="L88" s="179"/>
      <c r="M88" s="179"/>
      <c r="N88" s="179"/>
      <c r="O88" s="3"/>
      <c r="P88" s="3"/>
      <c r="Q88" s="3"/>
      <c r="R88" s="39"/>
      <c r="S88" s="3"/>
    </row>
    <row r="89" spans="1:19" x14ac:dyDescent="0.2">
      <c r="A89" s="24" t="s">
        <v>40</v>
      </c>
      <c r="B89" s="10" t="s">
        <v>91</v>
      </c>
      <c r="C89" s="70">
        <v>9.1</v>
      </c>
      <c r="D89" s="13">
        <f>AVERAGE(Q89:S89)</f>
        <v>1172.3333333333333</v>
      </c>
      <c r="F89" s="25"/>
      <c r="G89" s="25">
        <v>1206</v>
      </c>
      <c r="H89" s="26">
        <v>1003</v>
      </c>
      <c r="I89" s="44">
        <v>937</v>
      </c>
      <c r="J89" s="15">
        <v>843</v>
      </c>
      <c r="K89" s="179">
        <v>864</v>
      </c>
      <c r="L89" s="179">
        <v>906</v>
      </c>
      <c r="M89" s="179">
        <v>917</v>
      </c>
      <c r="N89" s="179">
        <v>903</v>
      </c>
      <c r="O89" s="3">
        <v>901</v>
      </c>
      <c r="P89" s="56">
        <v>985</v>
      </c>
      <c r="Q89" s="56">
        <v>1154</v>
      </c>
      <c r="R89" s="39">
        <v>1187</v>
      </c>
      <c r="S89" s="3">
        <v>1176</v>
      </c>
    </row>
    <row r="90" spans="1:19" x14ac:dyDescent="0.2">
      <c r="A90" s="24" t="s">
        <v>40</v>
      </c>
      <c r="B90" s="10" t="s">
        <v>67</v>
      </c>
      <c r="C90" s="70">
        <v>6.6</v>
      </c>
      <c r="D90" s="13">
        <f>AVERAGE(Q90:S90)</f>
        <v>342.33333333333331</v>
      </c>
      <c r="F90" s="25">
        <v>273</v>
      </c>
      <c r="G90" s="14">
        <v>299</v>
      </c>
      <c r="H90" s="26">
        <v>301</v>
      </c>
      <c r="I90" s="44">
        <v>315</v>
      </c>
      <c r="J90" s="15">
        <v>233</v>
      </c>
      <c r="K90" s="179">
        <v>260</v>
      </c>
      <c r="L90" s="179">
        <v>269</v>
      </c>
      <c r="M90" s="179">
        <v>272</v>
      </c>
      <c r="N90" s="179">
        <v>263</v>
      </c>
      <c r="O90" s="3">
        <v>249</v>
      </c>
      <c r="P90" s="3">
        <v>332</v>
      </c>
      <c r="Q90" s="3">
        <v>345</v>
      </c>
      <c r="R90" s="39">
        <v>341</v>
      </c>
      <c r="S90" s="3">
        <v>341</v>
      </c>
    </row>
    <row r="91" spans="1:19" x14ac:dyDescent="0.2">
      <c r="A91" s="24" t="s">
        <v>92</v>
      </c>
      <c r="B91" s="10" t="s">
        <v>99</v>
      </c>
      <c r="C91" s="70">
        <v>5.8</v>
      </c>
      <c r="D91" s="13">
        <f>AVERAGE(Q91:S91)</f>
        <v>342.33333333333331</v>
      </c>
      <c r="F91" s="25">
        <v>273</v>
      </c>
      <c r="G91" s="14">
        <v>299</v>
      </c>
      <c r="H91" s="26">
        <v>301</v>
      </c>
      <c r="I91" s="44">
        <v>315</v>
      </c>
      <c r="J91" s="15">
        <v>233</v>
      </c>
      <c r="K91" s="179">
        <v>260</v>
      </c>
      <c r="L91" s="179">
        <v>269</v>
      </c>
      <c r="M91" s="179">
        <v>272</v>
      </c>
      <c r="N91" s="179">
        <v>263</v>
      </c>
      <c r="O91" s="3">
        <v>249</v>
      </c>
      <c r="P91" s="3">
        <v>332</v>
      </c>
      <c r="Q91" s="3">
        <v>345</v>
      </c>
      <c r="R91" s="39">
        <v>341</v>
      </c>
      <c r="S91" s="3">
        <v>341</v>
      </c>
    </row>
    <row r="92" spans="1:19" x14ac:dyDescent="0.2">
      <c r="A92" s="24" t="s">
        <v>195</v>
      </c>
      <c r="B92" s="10" t="s">
        <v>131</v>
      </c>
      <c r="C92" s="70">
        <v>4.4000000000000004</v>
      </c>
      <c r="D92" s="13"/>
      <c r="F92" s="25"/>
      <c r="G92" s="14"/>
      <c r="H92" s="26"/>
      <c r="I92" s="44"/>
      <c r="J92" s="15"/>
      <c r="K92" s="179"/>
      <c r="L92" s="179"/>
      <c r="M92" s="179"/>
      <c r="N92" s="179"/>
      <c r="O92" s="3"/>
      <c r="P92" s="3"/>
      <c r="Q92" s="3"/>
      <c r="R92" s="39"/>
      <c r="S92" s="3"/>
    </row>
    <row r="93" spans="1:19" x14ac:dyDescent="0.2">
      <c r="A93" s="31"/>
      <c r="B93" s="17"/>
      <c r="C93" s="38"/>
      <c r="D93" s="13"/>
      <c r="F93" s="61"/>
      <c r="G93" s="19"/>
      <c r="H93" s="62"/>
      <c r="I93" s="30"/>
      <c r="J93" s="72"/>
      <c r="K93" s="179"/>
      <c r="L93" s="179"/>
      <c r="M93" s="179"/>
      <c r="N93" s="179"/>
      <c r="O93" s="3"/>
      <c r="P93" s="3"/>
      <c r="Q93" s="3"/>
      <c r="R93" s="39"/>
      <c r="S93" s="3"/>
    </row>
    <row r="94" spans="1:19" x14ac:dyDescent="0.2">
      <c r="A94" s="24" t="s">
        <v>96</v>
      </c>
      <c r="B94" s="10" t="s">
        <v>91</v>
      </c>
      <c r="C94" s="70">
        <v>7.3</v>
      </c>
      <c r="D94" s="13">
        <f>AVERAGE(Q94:S94)</f>
        <v>858.66666666666663</v>
      </c>
      <c r="F94" s="25"/>
      <c r="G94" s="25">
        <v>1020</v>
      </c>
      <c r="H94" s="26">
        <v>941</v>
      </c>
      <c r="I94" s="44">
        <v>962</v>
      </c>
      <c r="J94" s="15">
        <v>897</v>
      </c>
      <c r="K94" s="179">
        <v>917</v>
      </c>
      <c r="L94" s="179">
        <v>922</v>
      </c>
      <c r="M94" s="179">
        <v>980</v>
      </c>
      <c r="N94" s="179">
        <v>954</v>
      </c>
      <c r="O94" s="3">
        <v>943</v>
      </c>
      <c r="P94" s="3">
        <v>895</v>
      </c>
      <c r="Q94" s="3">
        <v>836</v>
      </c>
      <c r="R94" s="39">
        <v>867</v>
      </c>
      <c r="S94" s="3">
        <v>873</v>
      </c>
    </row>
    <row r="95" spans="1:19" x14ac:dyDescent="0.2">
      <c r="A95" s="24" t="s">
        <v>97</v>
      </c>
      <c r="B95" s="10" t="s">
        <v>98</v>
      </c>
      <c r="C95" s="70">
        <v>5.8</v>
      </c>
      <c r="D95" s="13"/>
      <c r="F95" s="25"/>
      <c r="G95" s="25"/>
      <c r="H95" s="26"/>
      <c r="I95" s="44"/>
      <c r="J95" s="15"/>
      <c r="K95" s="179"/>
      <c r="L95" s="179"/>
      <c r="M95" s="179"/>
      <c r="N95" s="179"/>
      <c r="O95" s="3"/>
      <c r="P95" s="3"/>
      <c r="Q95" s="3"/>
      <c r="R95" s="39"/>
      <c r="S95" s="3"/>
    </row>
    <row r="96" spans="1:19" x14ac:dyDescent="0.2">
      <c r="A96" s="24" t="s">
        <v>11</v>
      </c>
      <c r="B96" s="10" t="s">
        <v>99</v>
      </c>
      <c r="C96" s="70">
        <v>5.8</v>
      </c>
      <c r="D96" s="13"/>
      <c r="F96" s="25"/>
      <c r="G96" s="25"/>
      <c r="H96" s="26"/>
      <c r="I96" s="44"/>
      <c r="J96" s="15"/>
      <c r="K96" s="179"/>
      <c r="L96" s="179"/>
      <c r="M96" s="179"/>
      <c r="N96" s="179"/>
      <c r="O96" s="3"/>
      <c r="P96" s="3"/>
      <c r="Q96" s="3"/>
      <c r="R96" s="39"/>
      <c r="S96" s="3"/>
    </row>
    <row r="97" spans="1:20" x14ac:dyDescent="0.2">
      <c r="A97" s="24" t="s">
        <v>100</v>
      </c>
      <c r="B97" s="10" t="s">
        <v>131</v>
      </c>
      <c r="C97" s="70">
        <v>3.7</v>
      </c>
      <c r="D97" s="13"/>
      <c r="F97" s="25"/>
      <c r="G97" s="25"/>
      <c r="H97" s="26"/>
      <c r="I97" s="44"/>
      <c r="J97" s="15"/>
      <c r="K97" s="179"/>
      <c r="L97" s="179"/>
      <c r="M97" s="179"/>
      <c r="N97" s="179"/>
      <c r="O97" s="3"/>
      <c r="P97" s="3"/>
      <c r="Q97" s="3"/>
      <c r="R97" s="39"/>
      <c r="S97" s="3"/>
    </row>
    <row r="98" spans="1:20" x14ac:dyDescent="0.2">
      <c r="A98" s="16"/>
      <c r="B98" s="17"/>
      <c r="C98" s="38"/>
      <c r="D98" s="13"/>
      <c r="E98" s="5"/>
      <c r="F98" s="19"/>
      <c r="G98" s="19"/>
      <c r="H98" s="20"/>
      <c r="I98" s="20"/>
      <c r="J98" s="55"/>
      <c r="K98" s="179"/>
      <c r="L98" s="179"/>
      <c r="M98" s="179"/>
      <c r="N98" s="179"/>
      <c r="O98" s="3"/>
      <c r="P98" s="3"/>
      <c r="Q98" s="3"/>
      <c r="R98" s="39"/>
      <c r="S98" s="3"/>
    </row>
    <row r="99" spans="1:20" x14ac:dyDescent="0.2">
      <c r="A99" s="3" t="s">
        <v>197</v>
      </c>
      <c r="B99" s="10" t="s">
        <v>200</v>
      </c>
      <c r="C99" s="70">
        <v>29.2</v>
      </c>
      <c r="D99" s="13">
        <f>AVERAGE(Q99:S99)</f>
        <v>7176.333333333333</v>
      </c>
      <c r="F99" s="25"/>
      <c r="G99" s="25">
        <v>7232</v>
      </c>
      <c r="H99" s="26">
        <v>7121</v>
      </c>
      <c r="I99" s="44">
        <v>7229</v>
      </c>
      <c r="J99" s="15">
        <v>6549</v>
      </c>
      <c r="K99" s="15">
        <v>6549</v>
      </c>
      <c r="L99" s="179">
        <v>6740</v>
      </c>
      <c r="M99" s="179">
        <v>6724</v>
      </c>
      <c r="N99" s="179">
        <v>7044</v>
      </c>
      <c r="O99" s="3">
        <v>7123</v>
      </c>
      <c r="P99" s="3">
        <v>6843</v>
      </c>
      <c r="Q99" s="3">
        <v>6731</v>
      </c>
      <c r="R99" s="39">
        <v>6947</v>
      </c>
      <c r="S99" s="3">
        <v>7851</v>
      </c>
    </row>
    <row r="100" spans="1:20" x14ac:dyDescent="0.2">
      <c r="A100" s="3" t="s">
        <v>201</v>
      </c>
      <c r="B100" s="10" t="s">
        <v>161</v>
      </c>
      <c r="C100" s="70">
        <v>36.5</v>
      </c>
      <c r="D100" s="13">
        <f>AVERAGE(Q100:S100)</f>
        <v>-3891</v>
      </c>
      <c r="F100" s="25"/>
      <c r="G100" s="25">
        <v>-1845</v>
      </c>
      <c r="H100" s="26">
        <v>-2142</v>
      </c>
      <c r="I100" s="44">
        <v>-1997</v>
      </c>
      <c r="J100" s="15">
        <v>-2444</v>
      </c>
      <c r="K100" s="15">
        <f>(-1953-2933)/2</f>
        <v>-2443</v>
      </c>
      <c r="L100" s="179">
        <f>(-1742-2562)/2</f>
        <v>-2152</v>
      </c>
      <c r="M100" s="179">
        <f>(-1683+-2560)/2</f>
        <v>-2121.5</v>
      </c>
      <c r="N100" s="179">
        <f>(-2273-3350)/2</f>
        <v>-2811.5</v>
      </c>
      <c r="O100" s="3">
        <v>-2713</v>
      </c>
      <c r="P100" s="3">
        <v>-3353</v>
      </c>
      <c r="Q100" s="3">
        <v>-3468</v>
      </c>
      <c r="R100" s="39">
        <v>-3827</v>
      </c>
      <c r="S100" s="428">
        <v>-4378</v>
      </c>
    </row>
    <row r="101" spans="1:20" x14ac:dyDescent="0.2">
      <c r="A101" s="73" t="s">
        <v>93</v>
      </c>
      <c r="B101" s="10" t="s">
        <v>94</v>
      </c>
      <c r="C101" s="70">
        <v>5.5</v>
      </c>
      <c r="D101" s="13"/>
      <c r="F101" s="25"/>
      <c r="G101" s="25"/>
      <c r="H101" s="26"/>
      <c r="I101" s="44"/>
      <c r="J101" s="15"/>
      <c r="K101" s="179"/>
      <c r="L101" s="179"/>
      <c r="M101" s="179"/>
      <c r="N101" s="179"/>
      <c r="O101" s="3"/>
      <c r="P101" s="3"/>
      <c r="Q101" s="3"/>
      <c r="R101" s="39"/>
      <c r="S101" s="3"/>
    </row>
    <row r="102" spans="1:20" x14ac:dyDescent="0.2">
      <c r="A102" s="73" t="s">
        <v>148</v>
      </c>
      <c r="B102" s="10" t="s">
        <v>95</v>
      </c>
      <c r="C102" s="70">
        <v>23.7</v>
      </c>
      <c r="D102" s="13"/>
      <c r="F102" s="25"/>
      <c r="G102" s="25"/>
      <c r="H102" s="26"/>
      <c r="I102" s="44"/>
      <c r="J102" s="15"/>
      <c r="K102" s="179"/>
      <c r="L102" s="179"/>
      <c r="M102" s="179"/>
      <c r="N102" s="179"/>
      <c r="O102" s="3"/>
      <c r="P102" s="3"/>
      <c r="Q102" s="3"/>
      <c r="R102" s="39"/>
      <c r="S102" s="3"/>
    </row>
    <row r="103" spans="1:20" x14ac:dyDescent="0.2">
      <c r="A103" s="5"/>
      <c r="B103" s="52"/>
      <c r="C103" s="71"/>
      <c r="D103" s="13"/>
      <c r="F103" s="63"/>
      <c r="G103" s="63"/>
      <c r="H103" s="64"/>
      <c r="I103" s="36"/>
      <c r="J103" s="72"/>
      <c r="K103" s="179"/>
      <c r="L103" s="179"/>
      <c r="M103" s="179"/>
      <c r="N103" s="179"/>
      <c r="O103" s="3"/>
      <c r="P103" s="3"/>
      <c r="Q103" s="3"/>
      <c r="R103" s="39"/>
      <c r="S103" s="3"/>
    </row>
    <row r="104" spans="1:20" x14ac:dyDescent="0.2">
      <c r="A104" s="74" t="s">
        <v>125</v>
      </c>
      <c r="B104" s="75" t="s">
        <v>114</v>
      </c>
      <c r="C104" s="70">
        <v>16.399999999999999</v>
      </c>
      <c r="D104" s="13"/>
      <c r="F104" s="25"/>
      <c r="G104" s="25"/>
      <c r="H104" s="26"/>
      <c r="I104" s="44"/>
      <c r="J104" s="15"/>
      <c r="K104" s="179"/>
      <c r="L104" s="179"/>
      <c r="M104" s="179"/>
      <c r="N104" s="179"/>
      <c r="O104" s="3"/>
      <c r="P104" s="3"/>
      <c r="Q104" s="3"/>
      <c r="R104" s="39"/>
      <c r="S104" s="3"/>
    </row>
    <row r="105" spans="1:20" x14ac:dyDescent="0.2">
      <c r="A105" s="74" t="s">
        <v>126</v>
      </c>
      <c r="B105" s="75" t="s">
        <v>114</v>
      </c>
      <c r="C105" s="70">
        <v>14.6</v>
      </c>
      <c r="D105" s="13"/>
      <c r="F105" s="25"/>
      <c r="G105" s="25"/>
      <c r="H105" s="26"/>
      <c r="I105" s="44"/>
      <c r="J105" s="15"/>
      <c r="K105" s="179"/>
      <c r="L105" s="179"/>
      <c r="M105" s="179"/>
      <c r="N105" s="179"/>
      <c r="O105" s="3"/>
      <c r="P105" s="3"/>
      <c r="Q105" s="3"/>
      <c r="R105" s="39"/>
      <c r="S105" s="3"/>
    </row>
    <row r="106" spans="1:20" x14ac:dyDescent="0.2">
      <c r="A106" s="16"/>
      <c r="B106" s="17"/>
      <c r="C106" s="38"/>
      <c r="D106" s="13"/>
      <c r="E106" s="5"/>
      <c r="F106" s="19"/>
      <c r="G106" s="19"/>
      <c r="H106" s="20"/>
      <c r="I106" s="20"/>
      <c r="J106" s="55"/>
      <c r="K106" s="5"/>
      <c r="L106" s="179"/>
      <c r="M106" s="179"/>
      <c r="N106" s="179"/>
      <c r="O106" s="3"/>
      <c r="P106" s="3"/>
      <c r="Q106" s="3"/>
      <c r="R106" s="39"/>
      <c r="S106" s="3"/>
    </row>
    <row r="107" spans="1:20" x14ac:dyDescent="0.2">
      <c r="A107" s="3" t="s">
        <v>198</v>
      </c>
      <c r="B107" s="75" t="s">
        <v>135</v>
      </c>
      <c r="C107" s="70">
        <v>5.3</v>
      </c>
      <c r="D107" s="13">
        <f>AVERAGE(Q107:S107)</f>
        <v>161.33333333333334</v>
      </c>
      <c r="F107" s="3"/>
      <c r="G107" s="3">
        <v>302</v>
      </c>
      <c r="H107" s="3">
        <v>299</v>
      </c>
      <c r="I107" s="3">
        <v>303</v>
      </c>
      <c r="J107" s="15">
        <v>362</v>
      </c>
      <c r="K107" s="179">
        <v>229</v>
      </c>
      <c r="L107" s="179">
        <v>169</v>
      </c>
      <c r="M107" s="179">
        <v>159</v>
      </c>
      <c r="N107" s="179">
        <v>159</v>
      </c>
      <c r="O107" s="179">
        <v>168</v>
      </c>
      <c r="P107" s="179">
        <v>168</v>
      </c>
      <c r="Q107" s="179">
        <v>155</v>
      </c>
      <c r="R107" s="39">
        <v>164</v>
      </c>
      <c r="S107" s="39">
        <v>165</v>
      </c>
      <c r="T107" s="430" t="s">
        <v>136</v>
      </c>
    </row>
    <row r="108" spans="1:20" x14ac:dyDescent="0.2">
      <c r="A108" s="56" t="s">
        <v>199</v>
      </c>
      <c r="B108" s="75" t="s">
        <v>135</v>
      </c>
      <c r="C108" s="70">
        <v>10.5</v>
      </c>
      <c r="D108" s="13">
        <f>AVERAGE(Q108:S108)</f>
        <v>216</v>
      </c>
      <c r="F108" s="3"/>
      <c r="G108" s="3">
        <v>617</v>
      </c>
      <c r="H108" s="3">
        <v>610</v>
      </c>
      <c r="I108" s="3">
        <v>618</v>
      </c>
      <c r="J108" s="15">
        <v>478</v>
      </c>
      <c r="K108" s="179">
        <v>265</v>
      </c>
      <c r="L108" s="179">
        <v>212</v>
      </c>
      <c r="M108" s="179">
        <v>230</v>
      </c>
      <c r="N108" s="179">
        <v>229</v>
      </c>
      <c r="O108" s="179">
        <v>231</v>
      </c>
      <c r="P108" s="179">
        <v>231</v>
      </c>
      <c r="Q108" s="179">
        <v>202</v>
      </c>
      <c r="R108" s="39">
        <v>222</v>
      </c>
      <c r="S108" s="39">
        <v>224</v>
      </c>
      <c r="T108" s="430" t="s">
        <v>136</v>
      </c>
    </row>
    <row r="109" spans="1:20" x14ac:dyDescent="0.2">
      <c r="C109" s="72"/>
      <c r="D109" s="13"/>
      <c r="I109" s="36"/>
      <c r="J109" s="72"/>
      <c r="K109" s="179"/>
      <c r="L109" s="179"/>
      <c r="M109" s="179"/>
      <c r="N109" s="179"/>
      <c r="O109" s="3"/>
      <c r="S109" s="3"/>
    </row>
    <row r="110" spans="1:20" x14ac:dyDescent="0.2">
      <c r="A110" s="187" t="s">
        <v>159</v>
      </c>
      <c r="C110" s="72"/>
      <c r="D110" s="13"/>
      <c r="K110" s="72"/>
      <c r="M110" s="179"/>
      <c r="N110" s="179"/>
      <c r="O110" s="3"/>
      <c r="S110" s="3"/>
    </row>
    <row r="111" spans="1:20" x14ac:dyDescent="0.2">
      <c r="A111" s="56" t="s">
        <v>39</v>
      </c>
      <c r="B111" s="70" t="s">
        <v>283</v>
      </c>
      <c r="C111" s="78">
        <v>6</v>
      </c>
      <c r="D111" s="13">
        <f>AVERAGE(Q111:S111)</f>
        <v>507.66666666666669</v>
      </c>
      <c r="E111" s="72"/>
      <c r="F111" s="56"/>
      <c r="G111" s="56"/>
      <c r="H111" s="56"/>
      <c r="I111" s="56"/>
      <c r="J111" s="179">
        <v>885</v>
      </c>
      <c r="K111" s="179">
        <v>865</v>
      </c>
      <c r="L111" s="179">
        <v>911</v>
      </c>
      <c r="M111" s="179">
        <v>607</v>
      </c>
      <c r="N111" s="179">
        <v>25</v>
      </c>
      <c r="O111" s="3">
        <v>254</v>
      </c>
      <c r="P111" s="3">
        <v>437</v>
      </c>
      <c r="Q111" s="3">
        <v>646</v>
      </c>
      <c r="R111" s="39">
        <v>482</v>
      </c>
      <c r="S111" s="3">
        <v>395</v>
      </c>
    </row>
    <row r="112" spans="1:20" x14ac:dyDescent="0.2">
      <c r="C112" s="72"/>
      <c r="D112" s="72"/>
      <c r="E112" s="72"/>
      <c r="F112" s="72"/>
      <c r="G112" s="72"/>
      <c r="H112" s="72"/>
      <c r="I112" s="324"/>
      <c r="J112" s="72"/>
      <c r="K112" s="179"/>
      <c r="L112" s="179"/>
      <c r="M112" s="179"/>
      <c r="N112" s="179"/>
      <c r="O112" s="3"/>
      <c r="S112" s="3"/>
    </row>
    <row r="113" spans="1:20" x14ac:dyDescent="0.2">
      <c r="A113" s="317" t="s">
        <v>42</v>
      </c>
      <c r="B113" s="316" t="s">
        <v>284</v>
      </c>
      <c r="C113" s="318">
        <v>20</v>
      </c>
      <c r="D113" s="319">
        <f>(P113+Q113+R113+S113+((P113+Q113)/2))/5</f>
        <v>2703.4</v>
      </c>
      <c r="E113" s="320"/>
      <c r="F113" s="325">
        <v>2708</v>
      </c>
      <c r="G113" s="325">
        <v>2406</v>
      </c>
      <c r="H113" s="322">
        <v>2138</v>
      </c>
      <c r="I113" s="322">
        <v>2045</v>
      </c>
      <c r="J113" s="322">
        <v>2488</v>
      </c>
      <c r="K113" s="322">
        <v>2467</v>
      </c>
      <c r="L113" s="322">
        <v>3235</v>
      </c>
      <c r="M113" s="179">
        <v>4527</v>
      </c>
      <c r="N113" s="179">
        <v>2673</v>
      </c>
      <c r="O113" s="3">
        <v>2787</v>
      </c>
      <c r="P113" s="3">
        <v>2820</v>
      </c>
      <c r="Q113" s="3">
        <v>2362</v>
      </c>
      <c r="R113" s="39">
        <v>2750</v>
      </c>
      <c r="S113" s="3">
        <v>2994</v>
      </c>
      <c r="T113" s="3" t="s">
        <v>190</v>
      </c>
    </row>
    <row r="114" spans="1:20" x14ac:dyDescent="0.2">
      <c r="A114" s="317" t="s">
        <v>42</v>
      </c>
      <c r="B114" s="316" t="s">
        <v>179</v>
      </c>
      <c r="C114" s="318">
        <v>8</v>
      </c>
      <c r="D114" s="319">
        <f>(P114+Q114+R114+S114+((P114+Q114)/2))/5</f>
        <v>2703.4</v>
      </c>
      <c r="E114" s="320"/>
      <c r="F114" s="325">
        <v>2708</v>
      </c>
      <c r="G114" s="325">
        <v>2406</v>
      </c>
      <c r="H114" s="322">
        <v>2138</v>
      </c>
      <c r="I114" s="322">
        <v>2045</v>
      </c>
      <c r="J114" s="322">
        <v>2488</v>
      </c>
      <c r="K114" s="322">
        <v>2467</v>
      </c>
      <c r="L114" s="322">
        <v>3235</v>
      </c>
      <c r="M114" s="179">
        <v>4527</v>
      </c>
      <c r="N114" s="179">
        <v>2673</v>
      </c>
      <c r="O114" s="3">
        <v>2787</v>
      </c>
      <c r="P114" s="3">
        <v>2820</v>
      </c>
      <c r="Q114" s="3">
        <v>2362</v>
      </c>
      <c r="R114" s="39">
        <v>2750</v>
      </c>
      <c r="S114" s="3">
        <v>2994</v>
      </c>
      <c r="T114" s="3" t="s">
        <v>190</v>
      </c>
    </row>
    <row r="115" spans="1:20" x14ac:dyDescent="0.2">
      <c r="A115" s="317" t="s">
        <v>286</v>
      </c>
      <c r="B115" s="316" t="s">
        <v>287</v>
      </c>
      <c r="C115" s="318">
        <v>20</v>
      </c>
      <c r="D115" s="319">
        <f>(P115+Q115+R115+S115+((P115+Q115)/2))/5</f>
        <v>5839.3440000000001</v>
      </c>
      <c r="E115" s="320"/>
      <c r="F115" s="321"/>
      <c r="G115" s="321"/>
      <c r="H115" s="321"/>
      <c r="I115" s="322">
        <f>((I113+(I114*2.6))*0.6)</f>
        <v>4417.2</v>
      </c>
      <c r="J115" s="322">
        <f t="shared" ref="J115:L115" si="3">((J113+(J114*2.6))*0.6)</f>
        <v>5374.079999999999</v>
      </c>
      <c r="K115" s="322">
        <f t="shared" si="3"/>
        <v>5328.72</v>
      </c>
      <c r="L115" s="322">
        <f t="shared" si="3"/>
        <v>6987.5999999999995</v>
      </c>
      <c r="M115" s="179">
        <f t="shared" ref="M115:Q115" si="4">((M113+(M114*2.6))*0.6)</f>
        <v>9778.32</v>
      </c>
      <c r="N115" s="179">
        <f t="shared" si="4"/>
        <v>5773.6799999999994</v>
      </c>
      <c r="O115" s="179">
        <f t="shared" si="4"/>
        <v>6019.92</v>
      </c>
      <c r="P115" s="179">
        <f t="shared" si="4"/>
        <v>6091.2</v>
      </c>
      <c r="Q115" s="179">
        <f t="shared" si="4"/>
        <v>5101.92</v>
      </c>
      <c r="R115" s="39">
        <f>((R113+(R114*2.6))*0.6)</f>
        <v>5940</v>
      </c>
      <c r="S115" s="432">
        <f>((S113+(S114*2.6))*0.6)</f>
        <v>6467.0400000000009</v>
      </c>
      <c r="T115" s="424">
        <v>0.6</v>
      </c>
    </row>
    <row r="116" spans="1:20" x14ac:dyDescent="0.2">
      <c r="A116" s="317" t="s">
        <v>288</v>
      </c>
      <c r="B116" s="316" t="s">
        <v>287</v>
      </c>
      <c r="C116" s="318">
        <v>8</v>
      </c>
      <c r="D116" s="319">
        <f>(P116+Q116+R116+S116+((P116+Q116)/2))/5</f>
        <v>1497.2676923076924</v>
      </c>
      <c r="E116" s="320"/>
      <c r="F116" s="321"/>
      <c r="G116" s="321"/>
      <c r="H116" s="321"/>
      <c r="I116" s="322">
        <f>((I113+(I114*2.6))*0.4/2.6)</f>
        <v>1132.6153846153848</v>
      </c>
      <c r="J116" s="322">
        <f t="shared" ref="J116:L116" si="5">((J113+(J114*2.6))*0.4/2.6)</f>
        <v>1377.9692307692305</v>
      </c>
      <c r="K116" s="322">
        <f t="shared" si="5"/>
        <v>1366.3384615384616</v>
      </c>
      <c r="L116" s="322">
        <f t="shared" si="5"/>
        <v>1791.6923076923078</v>
      </c>
      <c r="M116" s="179">
        <f t="shared" ref="M116:S116" si="6">((M113+(M114*2.6))*0.4/2.6)</f>
        <v>2507.2615384615387</v>
      </c>
      <c r="N116" s="179">
        <f t="shared" si="6"/>
        <v>1480.4307692307691</v>
      </c>
      <c r="O116" s="179">
        <f t="shared" si="6"/>
        <v>1543.5692307692309</v>
      </c>
      <c r="P116" s="179">
        <f t="shared" si="6"/>
        <v>1561.8461538461538</v>
      </c>
      <c r="Q116" s="179">
        <f t="shared" si="6"/>
        <v>1308.1846153846157</v>
      </c>
      <c r="R116" s="432">
        <f t="shared" si="6"/>
        <v>1523.0769230769231</v>
      </c>
      <c r="S116" s="432">
        <f t="shared" si="6"/>
        <v>1658.2153846153849</v>
      </c>
      <c r="T116" s="424">
        <v>0.4</v>
      </c>
    </row>
    <row r="117" spans="1:20" x14ac:dyDescent="0.2">
      <c r="A117" s="24"/>
      <c r="B117" s="10"/>
      <c r="C117" s="78"/>
      <c r="D117" s="13"/>
      <c r="F117" s="14"/>
      <c r="G117" s="14"/>
      <c r="H117" s="15"/>
      <c r="I117" s="29"/>
      <c r="J117" s="15"/>
      <c r="K117" s="179"/>
      <c r="L117" s="179"/>
      <c r="M117" s="179"/>
      <c r="N117" s="179"/>
      <c r="O117" s="3"/>
      <c r="P117" s="3"/>
      <c r="Q117" s="3"/>
      <c r="S117" s="3"/>
    </row>
    <row r="118" spans="1:20" x14ac:dyDescent="0.2">
      <c r="A118" s="24" t="s">
        <v>10</v>
      </c>
      <c r="B118" s="10"/>
      <c r="C118" s="70">
        <v>9.1</v>
      </c>
      <c r="D118" s="13">
        <v>500</v>
      </c>
      <c r="F118" s="14"/>
      <c r="G118" s="14"/>
      <c r="H118" s="15"/>
      <c r="I118" s="29"/>
      <c r="J118" s="15"/>
      <c r="K118" s="179"/>
      <c r="L118" s="179"/>
      <c r="M118" s="179"/>
      <c r="N118" s="179"/>
      <c r="O118" s="422"/>
      <c r="P118" s="422"/>
      <c r="Q118" s="422"/>
      <c r="R118" s="433"/>
      <c r="S118" s="422"/>
      <c r="T118" s="422" t="s">
        <v>139</v>
      </c>
    </row>
    <row r="119" spans="1:20" x14ac:dyDescent="0.2">
      <c r="A119" s="24" t="s">
        <v>111</v>
      </c>
      <c r="B119" s="10"/>
      <c r="C119" s="70">
        <v>1.6</v>
      </c>
      <c r="D119" s="13"/>
      <c r="F119" s="14"/>
      <c r="G119" s="14"/>
      <c r="H119" s="15"/>
      <c r="I119" s="29"/>
      <c r="J119" s="15"/>
      <c r="K119" s="179"/>
      <c r="L119" s="179"/>
      <c r="M119" s="179"/>
      <c r="N119" s="179"/>
      <c r="O119" s="3"/>
      <c r="P119" s="3"/>
      <c r="Q119" s="3"/>
      <c r="S119" s="3"/>
    </row>
    <row r="120" spans="1:20" x14ac:dyDescent="0.2">
      <c r="A120" s="24" t="s">
        <v>112</v>
      </c>
      <c r="B120" s="10" t="s">
        <v>180</v>
      </c>
      <c r="C120" s="70">
        <v>5.64</v>
      </c>
      <c r="D120" s="323">
        <f>(P120+Q120+R120+S120+((P120+Q120)/2))/5</f>
        <v>243.3</v>
      </c>
      <c r="F120" s="14">
        <v>140</v>
      </c>
      <c r="G120" s="14">
        <v>333</v>
      </c>
      <c r="H120" s="15">
        <v>305</v>
      </c>
      <c r="I120" s="29">
        <v>277</v>
      </c>
      <c r="J120" s="15">
        <v>287</v>
      </c>
      <c r="K120" s="179">
        <v>276</v>
      </c>
      <c r="L120" s="179">
        <v>371</v>
      </c>
      <c r="M120" s="179">
        <v>212</v>
      </c>
      <c r="N120" s="179">
        <v>217</v>
      </c>
      <c r="O120" s="3">
        <v>32</v>
      </c>
      <c r="P120" s="56">
        <v>207</v>
      </c>
      <c r="Q120" s="56">
        <v>178</v>
      </c>
      <c r="R120" s="39">
        <v>255</v>
      </c>
      <c r="S120" s="3">
        <v>384</v>
      </c>
      <c r="T120" s="3" t="s">
        <v>190</v>
      </c>
    </row>
    <row r="121" spans="1:20" s="5" customFormat="1" x14ac:dyDescent="0.2">
      <c r="A121" s="31"/>
      <c r="B121" s="31"/>
      <c r="C121" s="81"/>
      <c r="D121" s="18"/>
      <c r="F121" s="32"/>
      <c r="G121" s="32"/>
      <c r="H121" s="33"/>
      <c r="I121" s="33"/>
      <c r="J121" s="55"/>
      <c r="K121" s="179"/>
      <c r="L121" s="179"/>
      <c r="M121" s="179"/>
      <c r="N121" s="179"/>
      <c r="O121" s="3"/>
      <c r="P121" s="3"/>
      <c r="Q121" s="3"/>
      <c r="S121" s="3"/>
    </row>
    <row r="122" spans="1:20" x14ac:dyDescent="0.2">
      <c r="A122" s="24" t="s">
        <v>43</v>
      </c>
      <c r="B122" s="10" t="s">
        <v>281</v>
      </c>
      <c r="C122" s="70">
        <v>0.37</v>
      </c>
      <c r="D122" s="67">
        <f>AVERAGE(Q122:S122)/2000</f>
        <v>52.476666666666667</v>
      </c>
      <c r="F122" s="13"/>
      <c r="G122" s="13">
        <v>85995</v>
      </c>
      <c r="H122" s="13">
        <v>80903</v>
      </c>
      <c r="I122" s="13">
        <v>85939</v>
      </c>
      <c r="J122" s="15">
        <v>83290</v>
      </c>
      <c r="K122" s="179">
        <v>96656</v>
      </c>
      <c r="L122" s="179">
        <v>96985</v>
      </c>
      <c r="M122" s="179">
        <v>88975</v>
      </c>
      <c r="N122" s="179">
        <v>99210</v>
      </c>
      <c r="O122" s="3">
        <v>97807</v>
      </c>
      <c r="P122" s="3">
        <v>89268</v>
      </c>
      <c r="Q122" s="3">
        <v>97242</v>
      </c>
      <c r="R122" s="39">
        <v>106188</v>
      </c>
      <c r="S122" s="3">
        <v>111430</v>
      </c>
    </row>
    <row r="123" spans="1:20" x14ac:dyDescent="0.2">
      <c r="A123" s="31"/>
      <c r="B123" s="17"/>
      <c r="C123" s="38"/>
      <c r="D123" s="83"/>
      <c r="F123" s="18"/>
      <c r="G123" s="18"/>
      <c r="H123" s="18"/>
      <c r="I123" s="18"/>
      <c r="J123" s="15"/>
      <c r="K123" s="179"/>
      <c r="L123" s="179"/>
      <c r="M123" s="179"/>
      <c r="N123" s="179"/>
      <c r="O123" s="3"/>
      <c r="P123" s="3"/>
      <c r="Q123" s="3"/>
      <c r="R123" s="39"/>
      <c r="S123" s="3"/>
    </row>
    <row r="124" spans="1:20" x14ac:dyDescent="0.2">
      <c r="A124" s="31"/>
      <c r="B124" s="17"/>
      <c r="C124" s="38"/>
      <c r="D124" s="83"/>
      <c r="F124" s="18"/>
      <c r="G124" s="18"/>
      <c r="H124" s="18"/>
      <c r="I124" s="18"/>
      <c r="J124" s="15"/>
      <c r="K124" s="179"/>
      <c r="L124" s="179"/>
      <c r="M124" s="179"/>
      <c r="N124" s="179"/>
      <c r="O124" s="3"/>
      <c r="P124" s="3"/>
      <c r="Q124" s="3"/>
      <c r="R124" s="39"/>
      <c r="S124" s="3"/>
    </row>
    <row r="125" spans="1:20" x14ac:dyDescent="0.2">
      <c r="A125" s="31"/>
      <c r="B125" s="17"/>
      <c r="C125" s="38"/>
      <c r="D125" s="83"/>
      <c r="F125" s="18"/>
      <c r="G125" s="18"/>
      <c r="H125" s="18"/>
      <c r="I125" s="18"/>
      <c r="J125" s="15"/>
      <c r="K125" s="179"/>
      <c r="L125" s="179"/>
      <c r="M125" s="179"/>
      <c r="N125" s="179"/>
      <c r="O125" s="3"/>
      <c r="P125" s="3"/>
      <c r="Q125" s="3"/>
      <c r="R125" s="39"/>
      <c r="S125" s="3"/>
    </row>
    <row r="126" spans="1:20" x14ac:dyDescent="0.2">
      <c r="A126" s="24" t="s">
        <v>44</v>
      </c>
      <c r="B126" s="10" t="s">
        <v>65</v>
      </c>
      <c r="C126" s="70">
        <v>0.11</v>
      </c>
      <c r="D126" s="67">
        <f>AVERAGE(Q126:S126)/4000</f>
        <v>17.548666666666669</v>
      </c>
      <c r="F126" s="28"/>
      <c r="G126" s="13">
        <v>69283</v>
      </c>
      <c r="H126" s="13">
        <v>64171</v>
      </c>
      <c r="I126" s="13">
        <v>57902</v>
      </c>
      <c r="J126" s="15">
        <v>65411</v>
      </c>
      <c r="K126" s="179">
        <v>60113</v>
      </c>
      <c r="L126" s="179">
        <v>59335</v>
      </c>
      <c r="M126" s="179">
        <v>56281</v>
      </c>
      <c r="N126" s="179">
        <v>64338</v>
      </c>
      <c r="O126" s="3">
        <v>63638</v>
      </c>
      <c r="P126" s="3">
        <v>61574</v>
      </c>
      <c r="Q126" s="3">
        <v>65021</v>
      </c>
      <c r="R126" s="39">
        <v>72550</v>
      </c>
      <c r="S126" s="3">
        <v>73013</v>
      </c>
    </row>
    <row r="127" spans="1:20" s="5" customFormat="1" x14ac:dyDescent="0.2">
      <c r="A127" s="65"/>
      <c r="B127" s="49"/>
      <c r="C127" s="82"/>
      <c r="D127" s="23"/>
      <c r="F127" s="50"/>
      <c r="G127" s="50"/>
      <c r="H127" s="51"/>
      <c r="I127" s="68"/>
      <c r="J127" s="15"/>
      <c r="K127" s="179"/>
      <c r="L127" s="179"/>
      <c r="M127" s="179"/>
      <c r="N127" s="179"/>
      <c r="O127" s="3"/>
      <c r="P127" s="3"/>
      <c r="Q127" s="3"/>
      <c r="R127" s="39"/>
      <c r="S127" s="3"/>
    </row>
    <row r="128" spans="1:20" x14ac:dyDescent="0.2">
      <c r="A128" s="24" t="s">
        <v>115</v>
      </c>
      <c r="B128" s="10" t="s">
        <v>189</v>
      </c>
      <c r="C128" s="70">
        <v>0.24</v>
      </c>
      <c r="D128" s="69">
        <f>AVERAGE(Q128:S128)/1300</f>
        <v>16.309487179487178</v>
      </c>
      <c r="F128" s="28"/>
      <c r="G128" s="13">
        <v>21582</v>
      </c>
      <c r="H128" s="13">
        <v>21582</v>
      </c>
      <c r="I128" s="13">
        <v>21582</v>
      </c>
      <c r="J128" s="15">
        <v>21838</v>
      </c>
      <c r="K128" s="179">
        <v>19309</v>
      </c>
      <c r="L128" s="179">
        <v>19423</v>
      </c>
      <c r="M128" s="179">
        <v>19423</v>
      </c>
      <c r="N128" s="179">
        <v>19423</v>
      </c>
      <c r="O128" s="3">
        <v>19673</v>
      </c>
      <c r="P128" s="3">
        <v>19662</v>
      </c>
      <c r="Q128" s="3">
        <v>21174</v>
      </c>
      <c r="R128" s="39">
        <v>21174</v>
      </c>
      <c r="S128" s="3">
        <v>21259</v>
      </c>
    </row>
    <row r="129" spans="1:19" x14ac:dyDescent="0.2">
      <c r="A129" s="24" t="s">
        <v>113</v>
      </c>
      <c r="B129" s="10" t="s">
        <v>114</v>
      </c>
      <c r="C129" s="70">
        <v>0.68</v>
      </c>
      <c r="D129" s="67"/>
      <c r="F129" s="28"/>
      <c r="G129" s="25"/>
      <c r="H129" s="25"/>
      <c r="I129" s="25"/>
      <c r="J129" s="15"/>
      <c r="K129" s="179"/>
      <c r="L129" s="179"/>
      <c r="M129" s="179"/>
      <c r="N129" s="179"/>
      <c r="O129" s="3"/>
      <c r="P129" s="3"/>
      <c r="Q129" s="3"/>
      <c r="R129" s="39"/>
      <c r="S129" s="3"/>
    </row>
    <row r="130" spans="1:19" x14ac:dyDescent="0.2">
      <c r="M130" s="378"/>
      <c r="N130" s="378"/>
    </row>
    <row r="131" spans="1:19" x14ac:dyDescent="0.2">
      <c r="M131" s="378"/>
      <c r="N131" s="378"/>
    </row>
    <row r="132" spans="1:19" x14ac:dyDescent="0.2">
      <c r="M132" s="378"/>
      <c r="N132" s="378"/>
    </row>
    <row r="133" spans="1:19" x14ac:dyDescent="0.2">
      <c r="A133" s="6"/>
      <c r="M133" s="378"/>
      <c r="N133" s="378"/>
    </row>
    <row r="134" spans="1:19" x14ac:dyDescent="0.2">
      <c r="A134" s="6"/>
    </row>
    <row r="135" spans="1:19" x14ac:dyDescent="0.2">
      <c r="A135" s="6"/>
    </row>
    <row r="136" spans="1:19" x14ac:dyDescent="0.2">
      <c r="A136" s="7"/>
    </row>
    <row r="137" spans="1:19" x14ac:dyDescent="0.2">
      <c r="A137" s="6"/>
    </row>
    <row r="138" spans="1:19" x14ac:dyDescent="0.2">
      <c r="A138" s="6"/>
    </row>
    <row r="139" spans="1:19" x14ac:dyDescent="0.2">
      <c r="A139" s="6"/>
    </row>
    <row r="140" spans="1:19" x14ac:dyDescent="0.2">
      <c r="A140" s="6"/>
    </row>
    <row r="141" spans="1:19" x14ac:dyDescent="0.2">
      <c r="A141" s="6"/>
    </row>
    <row r="142" spans="1:19" x14ac:dyDescent="0.2">
      <c r="A142" s="6"/>
    </row>
    <row r="143" spans="1:19" x14ac:dyDescent="0.2">
      <c r="A143" s="6"/>
    </row>
    <row r="144" spans="1:19"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7" spans="1:1" x14ac:dyDescent="0.2">
      <c r="A167" s="6"/>
    </row>
    <row r="168" spans="1:1" x14ac:dyDescent="0.2">
      <c r="A168" s="6"/>
    </row>
    <row r="169" spans="1:1" x14ac:dyDescent="0.2">
      <c r="A169" s="6"/>
    </row>
    <row r="170" spans="1:1" x14ac:dyDescent="0.2">
      <c r="A170"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sheetData>
  <mergeCells count="32">
    <mergeCell ref="B41:C41"/>
    <mergeCell ref="D3:F3"/>
    <mergeCell ref="B25:C25"/>
    <mergeCell ref="B26:C26"/>
    <mergeCell ref="B27:C27"/>
    <mergeCell ref="B28:C28"/>
    <mergeCell ref="B29:C29"/>
    <mergeCell ref="B30:C30"/>
    <mergeCell ref="B31:C31"/>
    <mergeCell ref="B33:C33"/>
    <mergeCell ref="B34:C34"/>
    <mergeCell ref="B35:C35"/>
    <mergeCell ref="B36:C36"/>
    <mergeCell ref="B37:C37"/>
    <mergeCell ref="B39:C39"/>
    <mergeCell ref="B40:C40"/>
    <mergeCell ref="B43:C43"/>
    <mergeCell ref="B44:C44"/>
    <mergeCell ref="B45:C45"/>
    <mergeCell ref="B47:C47"/>
    <mergeCell ref="B48:C48"/>
    <mergeCell ref="B49:C49"/>
    <mergeCell ref="B50:C50"/>
    <mergeCell ref="B51:C51"/>
    <mergeCell ref="B52:C52"/>
    <mergeCell ref="B53:C53"/>
    <mergeCell ref="B62:C62"/>
    <mergeCell ref="B56:C56"/>
    <mergeCell ref="B57:C57"/>
    <mergeCell ref="B58:C58"/>
    <mergeCell ref="B55:C55"/>
    <mergeCell ref="B60:C6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M21"/>
  <sheetViews>
    <sheetView workbookViewId="0">
      <selection activeCell="D59" sqref="D59"/>
    </sheetView>
  </sheetViews>
  <sheetFormatPr baseColWidth="10" defaultRowHeight="14.25" x14ac:dyDescent="0.2"/>
  <sheetData>
    <row r="2" spans="1:13" ht="15" x14ac:dyDescent="0.25">
      <c r="A2" s="4" t="s">
        <v>48</v>
      </c>
    </row>
    <row r="3" spans="1:13" x14ac:dyDescent="0.2">
      <c r="A3" t="s">
        <v>344</v>
      </c>
    </row>
    <row r="4" spans="1:13" x14ac:dyDescent="0.2">
      <c r="A4" t="s">
        <v>140</v>
      </c>
    </row>
    <row r="5" spans="1:13" x14ac:dyDescent="0.2">
      <c r="A5" s="1"/>
    </row>
    <row r="7" spans="1:13" ht="15" x14ac:dyDescent="0.25">
      <c r="A7" s="4" t="s">
        <v>143</v>
      </c>
    </row>
    <row r="8" spans="1:13" x14ac:dyDescent="0.2">
      <c r="A8" s="582" t="s">
        <v>49</v>
      </c>
      <c r="B8" s="583"/>
      <c r="C8" s="583"/>
      <c r="D8" s="583"/>
      <c r="E8" s="583"/>
      <c r="F8" s="583"/>
      <c r="G8" s="583"/>
      <c r="H8" s="583"/>
      <c r="I8" s="583"/>
      <c r="J8" s="583"/>
      <c r="K8" s="583"/>
      <c r="L8" s="583"/>
      <c r="M8" s="583"/>
    </row>
    <row r="9" spans="1:13" ht="14.25" customHeight="1" x14ac:dyDescent="0.2">
      <c r="A9" s="582" t="s">
        <v>50</v>
      </c>
      <c r="B9" s="583"/>
      <c r="C9" s="583"/>
      <c r="D9" s="583"/>
      <c r="E9" s="583"/>
      <c r="F9" s="583"/>
      <c r="G9" s="583"/>
      <c r="H9" s="583"/>
      <c r="I9" s="583"/>
      <c r="J9" s="583"/>
      <c r="K9" s="583"/>
      <c r="L9" s="583"/>
      <c r="M9" s="583"/>
    </row>
    <row r="11" spans="1:13" ht="15" x14ac:dyDescent="0.25">
      <c r="A11" s="4" t="s">
        <v>144</v>
      </c>
    </row>
    <row r="12" spans="1:13" x14ac:dyDescent="0.2">
      <c r="A12" s="582" t="s">
        <v>145</v>
      </c>
      <c r="B12" s="583"/>
      <c r="C12" s="583"/>
      <c r="D12" s="583"/>
      <c r="E12" s="583"/>
      <c r="F12" s="583"/>
      <c r="G12" s="583"/>
      <c r="H12" s="583"/>
      <c r="I12" s="583"/>
      <c r="J12" s="583"/>
      <c r="K12" s="583"/>
      <c r="L12" s="583"/>
      <c r="M12" s="583"/>
    </row>
    <row r="13" spans="1:13" x14ac:dyDescent="0.2">
      <c r="A13" s="582" t="s">
        <v>146</v>
      </c>
      <c r="B13" s="583"/>
      <c r="C13" s="583"/>
      <c r="D13" s="583"/>
      <c r="E13" s="583"/>
      <c r="F13" s="583"/>
      <c r="G13" s="583"/>
      <c r="H13" s="583"/>
      <c r="I13" s="583"/>
      <c r="J13" s="583"/>
      <c r="K13" s="583"/>
      <c r="L13" s="583"/>
      <c r="M13" s="583"/>
    </row>
    <row r="15" spans="1:13" ht="15" x14ac:dyDescent="0.25">
      <c r="A15" s="4" t="s">
        <v>345</v>
      </c>
    </row>
    <row r="16" spans="1:13" x14ac:dyDescent="0.2">
      <c r="A16" t="s">
        <v>348</v>
      </c>
    </row>
    <row r="17" spans="1:1" x14ac:dyDescent="0.2">
      <c r="A17" t="s">
        <v>346</v>
      </c>
    </row>
    <row r="19" spans="1:1" x14ac:dyDescent="0.2">
      <c r="A19" t="s">
        <v>351</v>
      </c>
    </row>
    <row r="21" spans="1:1" x14ac:dyDescent="0.2">
      <c r="A21" t="s">
        <v>352</v>
      </c>
    </row>
  </sheetData>
  <mergeCells count="4">
    <mergeCell ref="A8:M8"/>
    <mergeCell ref="A9:M9"/>
    <mergeCell ref="A12:M12"/>
    <mergeCell ref="A13:M1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2:M16"/>
  <sheetViews>
    <sheetView workbookViewId="0">
      <selection activeCell="D59" sqref="D59"/>
    </sheetView>
  </sheetViews>
  <sheetFormatPr baseColWidth="10" defaultRowHeight="14.25" x14ac:dyDescent="0.2"/>
  <sheetData>
    <row r="2" spans="1:13" ht="15" x14ac:dyDescent="0.25">
      <c r="A2" s="4" t="s">
        <v>103</v>
      </c>
    </row>
    <row r="3" spans="1:13" x14ac:dyDescent="0.2">
      <c r="A3" t="s">
        <v>104</v>
      </c>
    </row>
    <row r="8" spans="1:13" ht="15" x14ac:dyDescent="0.25">
      <c r="A8" s="4" t="s">
        <v>105</v>
      </c>
    </row>
    <row r="9" spans="1:13" x14ac:dyDescent="0.2">
      <c r="A9" t="s">
        <v>109</v>
      </c>
    </row>
    <row r="10" spans="1:13" x14ac:dyDescent="0.2">
      <c r="A10" t="s">
        <v>106</v>
      </c>
    </row>
    <row r="11" spans="1:13" x14ac:dyDescent="0.2">
      <c r="A11" t="s">
        <v>107</v>
      </c>
    </row>
    <row r="12" spans="1:13" x14ac:dyDescent="0.2">
      <c r="A12" t="s">
        <v>108</v>
      </c>
    </row>
    <row r="15" spans="1:13" ht="15" x14ac:dyDescent="0.25">
      <c r="A15" s="4" t="s">
        <v>9</v>
      </c>
    </row>
    <row r="16" spans="1:13" ht="28.5" customHeight="1" x14ac:dyDescent="0.2">
      <c r="A16" s="583" t="s">
        <v>110</v>
      </c>
      <c r="B16" s="583"/>
      <c r="C16" s="583"/>
      <c r="D16" s="583"/>
      <c r="E16" s="583"/>
      <c r="F16" s="583"/>
      <c r="G16" s="583"/>
      <c r="H16" s="583"/>
      <c r="I16" s="583"/>
      <c r="J16" s="583"/>
      <c r="K16" s="583"/>
      <c r="L16" s="583"/>
      <c r="M16" s="583"/>
    </row>
  </sheetData>
  <mergeCells count="1">
    <mergeCell ref="A16:M1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126"/>
  <sheetViews>
    <sheetView showZeros="0" workbookViewId="0">
      <selection activeCell="D59" sqref="D59"/>
    </sheetView>
  </sheetViews>
  <sheetFormatPr baseColWidth="10" defaultRowHeight="15" x14ac:dyDescent="0.25"/>
  <cols>
    <col min="3" max="3" width="20.375" customWidth="1"/>
    <col min="4" max="5" width="13.625" customWidth="1"/>
    <col min="11" max="11" width="13.25" style="4" customWidth="1"/>
  </cols>
  <sheetData>
    <row r="1" spans="1:16" ht="20.25" x14ac:dyDescent="0.3">
      <c r="A1" s="43" t="s">
        <v>203</v>
      </c>
      <c r="K1"/>
    </row>
    <row r="3" spans="1:16" x14ac:dyDescent="0.25">
      <c r="A3" s="4" t="s">
        <v>254</v>
      </c>
      <c r="K3" s="4" t="s">
        <v>255</v>
      </c>
    </row>
    <row r="4" spans="1:16" ht="57" x14ac:dyDescent="0.2">
      <c r="C4" s="186" t="s">
        <v>213</v>
      </c>
      <c r="E4" s="186" t="s">
        <v>214</v>
      </c>
      <c r="F4" s="592" t="s">
        <v>258</v>
      </c>
      <c r="G4" s="593"/>
      <c r="H4" s="593"/>
      <c r="K4"/>
      <c r="M4" s="186" t="s">
        <v>257</v>
      </c>
      <c r="N4" s="186" t="s">
        <v>213</v>
      </c>
      <c r="O4" s="186"/>
      <c r="P4" s="186"/>
    </row>
    <row r="5" spans="1:16" ht="14.25" x14ac:dyDescent="0.2">
      <c r="A5" s="591" t="s">
        <v>207</v>
      </c>
      <c r="B5" s="447"/>
      <c r="C5" s="257">
        <f>N5*0.7</f>
        <v>0.24499999999999997</v>
      </c>
      <c r="E5" s="257">
        <f>C5</f>
        <v>0.24499999999999997</v>
      </c>
      <c r="K5" s="591" t="s">
        <v>207</v>
      </c>
      <c r="L5" s="447"/>
      <c r="M5" s="3">
        <v>0.5</v>
      </c>
      <c r="N5" s="257">
        <f>M5*0.7</f>
        <v>0.35</v>
      </c>
      <c r="O5" s="55"/>
      <c r="P5" s="55"/>
    </row>
    <row r="6" spans="1:16" ht="14.25" x14ac:dyDescent="0.2">
      <c r="A6" s="591" t="s">
        <v>204</v>
      </c>
      <c r="B6" s="447"/>
      <c r="C6" s="257">
        <f t="shared" ref="C6:C10" si="0">N6*0.7</f>
        <v>0.29399999999999998</v>
      </c>
      <c r="E6" s="257">
        <f t="shared" ref="E6:E10" si="1">C6</f>
        <v>0.29399999999999998</v>
      </c>
      <c r="K6" s="591" t="s">
        <v>204</v>
      </c>
      <c r="L6" s="447"/>
      <c r="M6" s="3">
        <v>0.6</v>
      </c>
      <c r="N6" s="257">
        <f t="shared" ref="N6:N10" si="2">M6*0.7</f>
        <v>0.42</v>
      </c>
      <c r="O6" s="55"/>
      <c r="P6" s="55"/>
    </row>
    <row r="7" spans="1:16" ht="14.25" x14ac:dyDescent="0.2">
      <c r="A7" s="591" t="s">
        <v>205</v>
      </c>
      <c r="B7" s="447"/>
      <c r="C7" s="257">
        <f t="shared" si="0"/>
        <v>0.34299999999999992</v>
      </c>
      <c r="E7" s="257">
        <f t="shared" si="1"/>
        <v>0.34299999999999992</v>
      </c>
      <c r="K7" s="591" t="s">
        <v>205</v>
      </c>
      <c r="L7" s="447"/>
      <c r="M7" s="3">
        <v>0.7</v>
      </c>
      <c r="N7" s="257">
        <f t="shared" si="2"/>
        <v>0.48999999999999994</v>
      </c>
      <c r="O7" s="55"/>
      <c r="P7" s="55"/>
    </row>
    <row r="8" spans="1:16" ht="14.25" x14ac:dyDescent="0.2">
      <c r="A8" s="591" t="s">
        <v>206</v>
      </c>
      <c r="B8" s="447"/>
      <c r="C8" s="257">
        <f t="shared" si="0"/>
        <v>0.44099999999999995</v>
      </c>
      <c r="E8" s="257">
        <f t="shared" si="1"/>
        <v>0.44099999999999995</v>
      </c>
      <c r="K8" s="591" t="s">
        <v>206</v>
      </c>
      <c r="L8" s="447"/>
      <c r="M8" s="3">
        <v>0.9</v>
      </c>
      <c r="N8" s="257">
        <f t="shared" si="2"/>
        <v>0.63</v>
      </c>
      <c r="O8" s="55"/>
      <c r="P8" s="55"/>
    </row>
    <row r="9" spans="1:16" ht="14.25" x14ac:dyDescent="0.2">
      <c r="A9" s="591" t="s">
        <v>208</v>
      </c>
      <c r="B9" s="447"/>
      <c r="C9" s="257">
        <f t="shared" si="0"/>
        <v>0.53899999999999992</v>
      </c>
      <c r="E9" s="257">
        <f t="shared" si="1"/>
        <v>0.53899999999999992</v>
      </c>
      <c r="K9" s="591" t="s">
        <v>208</v>
      </c>
      <c r="L9" s="447"/>
      <c r="M9" s="3">
        <v>1.1000000000000001</v>
      </c>
      <c r="N9" s="257">
        <f t="shared" si="2"/>
        <v>0.77</v>
      </c>
      <c r="O9" s="55"/>
      <c r="P9" s="55"/>
    </row>
    <row r="10" spans="1:16" ht="14.25" x14ac:dyDescent="0.2">
      <c r="A10" s="591" t="s">
        <v>209</v>
      </c>
      <c r="B10" s="447"/>
      <c r="C10" s="257">
        <f t="shared" si="0"/>
        <v>0.61249999999999993</v>
      </c>
      <c r="E10" s="257">
        <f t="shared" si="1"/>
        <v>0.61249999999999993</v>
      </c>
      <c r="G10" s="603" t="s">
        <v>238</v>
      </c>
      <c r="H10" s="603"/>
      <c r="I10" s="603"/>
      <c r="K10" s="591" t="s">
        <v>209</v>
      </c>
      <c r="L10" s="447"/>
      <c r="M10" s="3">
        <v>1.25</v>
      </c>
      <c r="N10" s="257">
        <f t="shared" si="2"/>
        <v>0.875</v>
      </c>
      <c r="O10" s="55"/>
      <c r="P10" s="55"/>
    </row>
    <row r="11" spans="1:16" ht="14.25" x14ac:dyDescent="0.2">
      <c r="G11" s="601" t="s">
        <v>239</v>
      </c>
      <c r="H11" s="601"/>
      <c r="I11" s="601"/>
      <c r="K11"/>
      <c r="O11" s="55"/>
      <c r="P11" s="55"/>
    </row>
    <row r="12" spans="1:16" x14ac:dyDescent="0.25">
      <c r="A12" s="4" t="s">
        <v>222</v>
      </c>
      <c r="G12" s="602" t="s">
        <v>240</v>
      </c>
      <c r="H12" s="602"/>
      <c r="I12" s="602"/>
      <c r="K12" s="256" t="s">
        <v>256</v>
      </c>
    </row>
    <row r="13" spans="1:16" ht="28.5" x14ac:dyDescent="0.2">
      <c r="C13" s="186" t="s">
        <v>221</v>
      </c>
      <c r="E13" s="195"/>
      <c r="K13"/>
    </row>
    <row r="14" spans="1:16" ht="14.25" x14ac:dyDescent="0.2">
      <c r="A14" s="591" t="s">
        <v>207</v>
      </c>
      <c r="B14" s="447"/>
      <c r="C14" s="3">
        <f>IF('Eingabe und Berechnungen TS,DB'!$I$10="ja",Berechnungen_Grundlagen!E5,IF('Eingabe und Berechnungen TS,DB'!$I$10="nein",Berechnungen_Grundlagen!C5,""))</f>
        <v>0.24499999999999997</v>
      </c>
      <c r="E14" s="5"/>
      <c r="K14"/>
    </row>
    <row r="15" spans="1:16" ht="14.25" x14ac:dyDescent="0.2">
      <c r="A15" s="591" t="s">
        <v>204</v>
      </c>
      <c r="B15" s="447"/>
      <c r="C15" s="3">
        <f>IF('Eingabe und Berechnungen TS,DB'!$I$10="ja",Berechnungen_Grundlagen!E6,IF('Eingabe und Berechnungen TS,DB'!$I$10="nein",Berechnungen_Grundlagen!C6,""))</f>
        <v>0.29399999999999998</v>
      </c>
      <c r="E15" s="5"/>
      <c r="K15"/>
    </row>
    <row r="16" spans="1:16" ht="14.25" x14ac:dyDescent="0.2">
      <c r="A16" s="591" t="s">
        <v>205</v>
      </c>
      <c r="B16" s="447"/>
      <c r="C16" s="3">
        <f>IF('Eingabe und Berechnungen TS,DB'!$I$10="ja",Berechnungen_Grundlagen!E7,IF('Eingabe und Berechnungen TS,DB'!$I$10="nein",Berechnungen_Grundlagen!C7,""))</f>
        <v>0.34299999999999992</v>
      </c>
      <c r="E16" s="5"/>
      <c r="K16"/>
    </row>
    <row r="17" spans="1:6" x14ac:dyDescent="0.25">
      <c r="A17" s="591" t="s">
        <v>206</v>
      </c>
      <c r="B17" s="447"/>
      <c r="C17" s="3">
        <f>IF('Eingabe und Berechnungen TS,DB'!$I$10="ja",Berechnungen_Grundlagen!E8,IF('Eingabe und Berechnungen TS,DB'!$I$10="nein",Berechnungen_Grundlagen!C8,""))</f>
        <v>0.44099999999999995</v>
      </c>
      <c r="E17" s="5"/>
    </row>
    <row r="18" spans="1:6" x14ac:dyDescent="0.25">
      <c r="A18" s="591" t="s">
        <v>208</v>
      </c>
      <c r="B18" s="447"/>
      <c r="C18" s="3">
        <f>IF('Eingabe und Berechnungen TS,DB'!$I$10="ja",Berechnungen_Grundlagen!E9,IF('Eingabe und Berechnungen TS,DB'!$I$10="nein",Berechnungen_Grundlagen!C9,""))</f>
        <v>0.53899999999999992</v>
      </c>
      <c r="E18" s="5"/>
    </row>
    <row r="19" spans="1:6" x14ac:dyDescent="0.25">
      <c r="A19" s="591" t="s">
        <v>209</v>
      </c>
      <c r="B19" s="447"/>
      <c r="C19" s="3">
        <f>IF('Eingabe und Berechnungen TS,DB'!$I$10="ja",Berechnungen_Grundlagen!E10,IF('Eingabe und Berechnungen TS,DB'!$I$10="nein",Berechnungen_Grundlagen!C10,""))</f>
        <v>0.61249999999999993</v>
      </c>
      <c r="E19" s="5"/>
    </row>
    <row r="20" spans="1:6" x14ac:dyDescent="0.25">
      <c r="C20" s="34"/>
      <c r="E20" s="5"/>
    </row>
    <row r="21" spans="1:6" ht="36" x14ac:dyDescent="0.25">
      <c r="A21" s="95" t="s">
        <v>203</v>
      </c>
      <c r="B21" s="96"/>
      <c r="C21" s="96"/>
      <c r="D21" s="191" t="s">
        <v>12</v>
      </c>
      <c r="E21" s="191" t="s">
        <v>170</v>
      </c>
      <c r="F21" s="191" t="s">
        <v>172</v>
      </c>
    </row>
    <row r="22" spans="1:6" x14ac:dyDescent="0.25">
      <c r="A22" s="436" t="s">
        <v>197</v>
      </c>
      <c r="B22" s="437"/>
      <c r="C22" s="108" t="s">
        <v>200</v>
      </c>
      <c r="D22" s="229">
        <f>'Eingabe und Berechnungen TS,DB'!D13</f>
        <v>0</v>
      </c>
      <c r="E22" s="149">
        <v>29.2</v>
      </c>
      <c r="F22" s="224">
        <f>E22*D22</f>
        <v>0</v>
      </c>
    </row>
    <row r="23" spans="1:6" x14ac:dyDescent="0.25">
      <c r="A23" s="436" t="s">
        <v>201</v>
      </c>
      <c r="B23" s="437"/>
      <c r="C23" s="108" t="s">
        <v>161</v>
      </c>
      <c r="D23" s="229">
        <f>'Eingabe und Berechnungen TS,DB'!D14</f>
        <v>0</v>
      </c>
      <c r="E23" s="149">
        <v>36.5</v>
      </c>
      <c r="F23" s="224">
        <f t="shared" ref="F23:F28" si="3">E23*D23</f>
        <v>0</v>
      </c>
    </row>
    <row r="24" spans="1:6" x14ac:dyDescent="0.25">
      <c r="A24" s="436" t="s">
        <v>93</v>
      </c>
      <c r="B24" s="437"/>
      <c r="C24" s="108" t="s">
        <v>94</v>
      </c>
      <c r="D24" s="229">
        <f>'Eingabe und Berechnungen TS,DB'!D15</f>
        <v>0</v>
      </c>
      <c r="E24" s="149">
        <v>5.5</v>
      </c>
      <c r="F24" s="224">
        <f t="shared" si="3"/>
        <v>0</v>
      </c>
    </row>
    <row r="25" spans="1:6" x14ac:dyDescent="0.25">
      <c r="A25" s="436" t="s">
        <v>148</v>
      </c>
      <c r="B25" s="437"/>
      <c r="C25" s="108" t="s">
        <v>95</v>
      </c>
      <c r="D25" s="229">
        <f>'Eingabe und Berechnungen TS,DB'!D16</f>
        <v>0</v>
      </c>
      <c r="E25" s="149">
        <v>23.7</v>
      </c>
      <c r="F25" s="224">
        <f t="shared" si="3"/>
        <v>0</v>
      </c>
    </row>
    <row r="26" spans="1:6" x14ac:dyDescent="0.25">
      <c r="A26" s="96"/>
      <c r="B26" s="96"/>
      <c r="C26" s="96"/>
      <c r="D26" s="203"/>
      <c r="E26" s="182"/>
      <c r="F26" s="181">
        <v>0</v>
      </c>
    </row>
    <row r="27" spans="1:6" x14ac:dyDescent="0.25">
      <c r="A27" s="436" t="s">
        <v>125</v>
      </c>
      <c r="B27" s="437"/>
      <c r="C27" s="108" t="s">
        <v>114</v>
      </c>
      <c r="D27" s="229">
        <f>'Eingabe und Berechnungen TS,DB'!D18</f>
        <v>0</v>
      </c>
      <c r="E27" s="149">
        <v>16.399999999999999</v>
      </c>
      <c r="F27" s="224">
        <f t="shared" si="3"/>
        <v>0</v>
      </c>
    </row>
    <row r="28" spans="1:6" x14ac:dyDescent="0.25">
      <c r="A28" s="436" t="s">
        <v>126</v>
      </c>
      <c r="B28" s="437"/>
      <c r="C28" s="108" t="s">
        <v>114</v>
      </c>
      <c r="D28" s="229">
        <f>'Eingabe und Berechnungen TS,DB'!D19</f>
        <v>0</v>
      </c>
      <c r="E28" s="149">
        <v>14.6</v>
      </c>
      <c r="F28" s="224">
        <f t="shared" si="3"/>
        <v>0</v>
      </c>
    </row>
    <row r="30" spans="1:6" x14ac:dyDescent="0.25">
      <c r="A30" s="202" t="s">
        <v>230</v>
      </c>
    </row>
    <row r="31" spans="1:6" x14ac:dyDescent="0.25">
      <c r="A31" s="211" t="s">
        <v>202</v>
      </c>
    </row>
    <row r="33" spans="1:13" x14ac:dyDescent="0.25">
      <c r="A33" s="95" t="s">
        <v>211</v>
      </c>
      <c r="B33" s="147"/>
      <c r="C33" s="124"/>
      <c r="D33" s="204"/>
      <c r="E33" s="205"/>
      <c r="F33" s="205"/>
      <c r="G33" s="205"/>
      <c r="H33" s="206"/>
      <c r="K33"/>
    </row>
    <row r="34" spans="1:13" ht="14.25" x14ac:dyDescent="0.2">
      <c r="A34" s="436" t="s">
        <v>215</v>
      </c>
      <c r="B34" s="600"/>
      <c r="C34" s="194" t="s">
        <v>217</v>
      </c>
      <c r="D34" s="193" t="s">
        <v>223</v>
      </c>
      <c r="E34" s="193" t="s">
        <v>216</v>
      </c>
      <c r="F34" s="193" t="s">
        <v>205</v>
      </c>
      <c r="G34" s="193" t="s">
        <v>206</v>
      </c>
      <c r="H34" s="193" t="s">
        <v>208</v>
      </c>
      <c r="I34" s="193" t="s">
        <v>209</v>
      </c>
      <c r="K34"/>
    </row>
    <row r="35" spans="1:13" ht="5.25" customHeight="1" x14ac:dyDescent="0.2">
      <c r="A35" s="196"/>
      <c r="B35" s="216"/>
      <c r="C35" s="217"/>
      <c r="D35" s="220"/>
      <c r="E35" s="220"/>
      <c r="F35" s="220"/>
      <c r="G35" s="220"/>
      <c r="H35" s="220"/>
      <c r="I35" s="220"/>
      <c r="K35"/>
    </row>
    <row r="36" spans="1:13" ht="14.25" x14ac:dyDescent="0.2">
      <c r="A36" s="436" t="s">
        <v>219</v>
      </c>
      <c r="B36" s="600"/>
      <c r="C36" s="194" t="str">
        <f>IF(SUM(D36:I36)=1,A75,IF(SUM(D36:I36)=0,A75,A76))</f>
        <v>(Summe muss 100% sein)</v>
      </c>
      <c r="D36" s="228">
        <f>IF($A$31="ja",'Eingabe und Berechnungen TS,DB'!D26,"0")</f>
        <v>0</v>
      </c>
      <c r="E36" s="228">
        <f>IF($A$31="ja",'Eingabe und Berechnungen TS,DB'!E26,"0")</f>
        <v>0</v>
      </c>
      <c r="F36" s="228">
        <f>IF($A$31="ja",'Eingabe und Berechnungen TS,DB'!F26,"0")</f>
        <v>0</v>
      </c>
      <c r="G36" s="228">
        <f>IF($A$31="ja",'Eingabe und Berechnungen TS,DB'!G26,"0")</f>
        <v>0</v>
      </c>
      <c r="H36" s="228">
        <f>IF($A$31="ja",'Eingabe und Berechnungen TS,DB'!H26,"0")</f>
        <v>0</v>
      </c>
      <c r="I36" s="228">
        <f>IF($A$31="ja",'Eingabe und Berechnungen TS,DB'!I26,"0")</f>
        <v>0</v>
      </c>
      <c r="K36"/>
    </row>
    <row r="37" spans="1:13" ht="14.25" x14ac:dyDescent="0.2">
      <c r="A37" s="189" t="s">
        <v>218</v>
      </c>
      <c r="B37" s="190"/>
      <c r="C37" s="190"/>
      <c r="D37" s="225">
        <f>IF(D36&lt;&gt;0,SUM(F22:F28)/29.2*C14*(D36),0)</f>
        <v>0</v>
      </c>
      <c r="E37" s="225">
        <f>IF(E36&lt;&gt;0,SUM($F$22:$F$28)/29.2*$C$15*$E$36,0)</f>
        <v>0</v>
      </c>
      <c r="F37" s="225">
        <f>IF(F36&lt;&gt;0,SUM($F$22:$F$28)/29.2*$C$16*($F$36),0)</f>
        <v>0</v>
      </c>
      <c r="G37" s="225">
        <f>IF(G36&lt;&gt;0,SUM($F$22:$F$28)/29.2*$C$17*($G$36),0)</f>
        <v>0</v>
      </c>
      <c r="H37" s="225">
        <f>IF(H36&lt;&gt;0,SUM($F$22:$F$28)/29.2*$C$18*($H$36),)</f>
        <v>0</v>
      </c>
      <c r="I37" s="225">
        <f>IF(I36&lt;&gt;0,SUM($F$22:$F$28)/29.2*$C$19*($I$36),)</f>
        <v>0</v>
      </c>
      <c r="K37"/>
    </row>
    <row r="38" spans="1:13" ht="6" customHeight="1" x14ac:dyDescent="0.2">
      <c r="A38" s="221"/>
      <c r="B38" s="222"/>
      <c r="C38" s="222"/>
      <c r="D38" s="223"/>
      <c r="E38" s="223"/>
      <c r="F38" s="223"/>
      <c r="G38" s="223"/>
      <c r="H38" s="223"/>
      <c r="I38" s="223"/>
      <c r="K38"/>
    </row>
    <row r="39" spans="1:13" ht="14.25" x14ac:dyDescent="0.2">
      <c r="A39" s="212" t="s">
        <v>272</v>
      </c>
      <c r="B39" s="213"/>
      <c r="C39" s="214" t="s">
        <v>220</v>
      </c>
      <c r="D39" s="227" t="e">
        <f>'Eingabe und Berechnungen TS,DB'!#REF!</f>
        <v>#REF!</v>
      </c>
      <c r="E39" s="227" t="e">
        <f>'Eingabe und Berechnungen TS,DB'!#REF!</f>
        <v>#REF!</v>
      </c>
      <c r="F39" s="227" t="e">
        <f>'Eingabe und Berechnungen TS,DB'!#REF!</f>
        <v>#REF!</v>
      </c>
      <c r="G39" s="227" t="e">
        <f>'Eingabe und Berechnungen TS,DB'!#REF!</f>
        <v>#REF!</v>
      </c>
      <c r="H39" s="227" t="e">
        <f>'Eingabe und Berechnungen TS,DB'!#REF!</f>
        <v>#REF!</v>
      </c>
      <c r="I39" s="227" t="e">
        <f>'Eingabe und Berechnungen TS,DB'!#REF!</f>
        <v>#REF!</v>
      </c>
      <c r="J39" s="72"/>
      <c r="K39" s="72"/>
      <c r="L39" s="72"/>
      <c r="M39" s="72"/>
    </row>
    <row r="40" spans="1:13" ht="14.25" x14ac:dyDescent="0.2">
      <c r="A40" s="306" t="s">
        <v>273</v>
      </c>
      <c r="B40" s="307"/>
      <c r="C40" s="214" t="s">
        <v>274</v>
      </c>
      <c r="D40" s="227" t="e">
        <f>'Eingabe und Berechnungen TS,DB'!#REF!</f>
        <v>#REF!</v>
      </c>
      <c r="E40" s="227" t="e">
        <f>'Eingabe und Berechnungen TS,DB'!#REF!</f>
        <v>#REF!</v>
      </c>
      <c r="F40" s="227" t="e">
        <f>'Eingabe und Berechnungen TS,DB'!#REF!</f>
        <v>#REF!</v>
      </c>
      <c r="G40" s="227" t="e">
        <f>'Eingabe und Berechnungen TS,DB'!#REF!</f>
        <v>#REF!</v>
      </c>
      <c r="H40" s="227" t="e">
        <f>'Eingabe und Berechnungen TS,DB'!#REF!</f>
        <v>#REF!</v>
      </c>
      <c r="I40" s="227" t="e">
        <f>'Eingabe und Berechnungen TS,DB'!#REF!</f>
        <v>#REF!</v>
      </c>
      <c r="J40" s="72"/>
      <c r="K40" s="72"/>
      <c r="L40" s="72"/>
      <c r="M40" s="72"/>
    </row>
    <row r="41" spans="1:13" ht="6.75" customHeight="1" x14ac:dyDescent="0.2">
      <c r="A41" s="146"/>
      <c r="B41" s="215"/>
      <c r="C41" s="215"/>
      <c r="D41" s="159"/>
      <c r="E41" s="159"/>
      <c r="F41" s="159"/>
      <c r="G41" s="159"/>
      <c r="H41" s="159"/>
      <c r="I41" s="159"/>
      <c r="K41"/>
    </row>
    <row r="42" spans="1:13" ht="14.25" x14ac:dyDescent="0.2">
      <c r="A42" s="189" t="s">
        <v>259</v>
      </c>
      <c r="B42" s="190"/>
      <c r="C42" s="190"/>
      <c r="D42" s="226">
        <f>'Eingabe und Berechnungen TS,DB'!D30</f>
        <v>0</v>
      </c>
      <c r="E42" s="226">
        <f>'Eingabe und Berechnungen TS,DB'!E30</f>
        <v>0</v>
      </c>
      <c r="F42" s="226">
        <f>'Eingabe und Berechnungen TS,DB'!F30</f>
        <v>0</v>
      </c>
      <c r="G42" s="226">
        <f>'Eingabe und Berechnungen TS,DB'!G30</f>
        <v>0</v>
      </c>
      <c r="H42" s="226">
        <f>'Eingabe und Berechnungen TS,DB'!H30</f>
        <v>0</v>
      </c>
      <c r="I42" s="226">
        <f>'Eingabe und Berechnungen TS,DB'!I30</f>
        <v>0</v>
      </c>
      <c r="K42"/>
    </row>
    <row r="43" spans="1:13" ht="14.25" x14ac:dyDescent="0.2">
      <c r="A43" s="527" t="s">
        <v>276</v>
      </c>
      <c r="B43" s="447"/>
      <c r="C43" s="447"/>
      <c r="D43" s="226" t="str">
        <f>'Eingabe und Berechnungen TS,DB'!D29</f>
        <v/>
      </c>
      <c r="E43" s="226" t="str">
        <f>'Eingabe und Berechnungen TS,DB'!E29</f>
        <v/>
      </c>
      <c r="F43" s="226" t="str">
        <f>'Eingabe und Berechnungen TS,DB'!F29</f>
        <v/>
      </c>
      <c r="G43" s="226" t="str">
        <f>'Eingabe und Berechnungen TS,DB'!G29</f>
        <v/>
      </c>
      <c r="H43" s="226" t="str">
        <f>'Eingabe und Berechnungen TS,DB'!H29</f>
        <v/>
      </c>
      <c r="I43" s="226" t="str">
        <f>'Eingabe und Berechnungen TS,DB'!I29</f>
        <v/>
      </c>
      <c r="K43"/>
    </row>
    <row r="44" spans="1:13" ht="14.25" x14ac:dyDescent="0.2">
      <c r="A44" s="146"/>
      <c r="B44" s="147"/>
      <c r="C44" s="124"/>
      <c r="D44" s="184"/>
      <c r="E44" s="183"/>
      <c r="F44" s="192"/>
      <c r="G44" s="181"/>
      <c r="H44" s="181"/>
      <c r="K44"/>
    </row>
    <row r="45" spans="1:13" ht="14.25" x14ac:dyDescent="0.2">
      <c r="A45" s="230" t="s">
        <v>247</v>
      </c>
      <c r="B45" s="147"/>
      <c r="C45" s="124"/>
      <c r="D45" s="184"/>
      <c r="E45" s="183"/>
      <c r="F45" s="192"/>
      <c r="G45" s="181"/>
      <c r="H45" s="181"/>
      <c r="K45"/>
    </row>
    <row r="46" spans="1:13" ht="14.25" x14ac:dyDescent="0.2">
      <c r="A46" s="246"/>
      <c r="B46" s="232"/>
      <c r="C46" s="231"/>
      <c r="D46" s="247" t="str">
        <f>IF(D37=0,"",IF($A$31="nein","",IF(AND(SUM($D$36:$I$36)=100%,D42="ja",D43="ja"),"ja","nein")))</f>
        <v/>
      </c>
      <c r="E46" s="247" t="str">
        <f t="shared" ref="E46:I46" si="4">IF(E37=0,"",IF($A$31="nein","",IF(AND(SUM($D$36:$I$36)=100%,E42="ja",E43="ja"),"ja","nein")))</f>
        <v/>
      </c>
      <c r="F46" s="247" t="str">
        <f t="shared" si="4"/>
        <v/>
      </c>
      <c r="G46" s="247" t="str">
        <f t="shared" si="4"/>
        <v/>
      </c>
      <c r="H46" s="247" t="str">
        <f t="shared" si="4"/>
        <v/>
      </c>
      <c r="I46" s="247" t="str">
        <f t="shared" si="4"/>
        <v/>
      </c>
      <c r="K46"/>
    </row>
    <row r="47" spans="1:13" ht="14.25" x14ac:dyDescent="0.2">
      <c r="A47" s="230"/>
      <c r="B47" s="147"/>
      <c r="C47" s="124"/>
      <c r="D47" s="184"/>
      <c r="E47" s="183"/>
      <c r="F47" s="192"/>
      <c r="G47" s="181"/>
      <c r="H47" s="181"/>
      <c r="K47"/>
    </row>
    <row r="48" spans="1:13" ht="14.25" x14ac:dyDescent="0.2">
      <c r="A48" s="230" t="s">
        <v>248</v>
      </c>
      <c r="B48" s="147"/>
      <c r="C48" s="124"/>
      <c r="D48" s="184"/>
      <c r="E48" s="183"/>
      <c r="F48" s="192"/>
      <c r="G48" s="181"/>
      <c r="H48" s="181"/>
      <c r="K48"/>
    </row>
    <row r="49" spans="1:9" x14ac:dyDescent="0.25">
      <c r="A49" s="233" t="str">
        <f>IF(AND(D46="",E46="",F46="",G46="",H46="",I46=""),"",IF(D46="nein","nein",IF(E46="nein","nein",IF(F46="nein","nein",IF(G46="nein","nein",IF(H46="nein","nein",IF(I46="nein","nein","ja")))))))</f>
        <v/>
      </c>
      <c r="B49" s="147"/>
      <c r="C49" s="124"/>
      <c r="D49" s="184"/>
      <c r="E49" s="183"/>
      <c r="F49" s="192"/>
      <c r="G49" s="181"/>
      <c r="H49" s="181"/>
    </row>
    <row r="50" spans="1:9" x14ac:dyDescent="0.25">
      <c r="A50" s="249"/>
      <c r="B50" s="147"/>
      <c r="C50" s="124"/>
      <c r="D50" s="184"/>
      <c r="E50" s="183"/>
      <c r="F50" s="192"/>
      <c r="G50" s="181"/>
      <c r="H50" s="181"/>
    </row>
    <row r="51" spans="1:9" x14ac:dyDescent="0.25">
      <c r="A51" s="146"/>
      <c r="B51" s="147"/>
      <c r="C51" s="124"/>
      <c r="D51" s="184"/>
      <c r="E51" s="183"/>
      <c r="F51" s="192"/>
      <c r="G51" s="181"/>
      <c r="H51" s="181"/>
    </row>
    <row r="52" spans="1:9" x14ac:dyDescent="0.25">
      <c r="A52" s="230" t="s">
        <v>241</v>
      </c>
      <c r="B52" s="147"/>
      <c r="C52" s="124"/>
      <c r="D52" s="184"/>
      <c r="E52" s="183"/>
      <c r="F52" s="192"/>
      <c r="G52" s="181"/>
      <c r="H52" s="181"/>
    </row>
    <row r="53" spans="1:9" x14ac:dyDescent="0.25">
      <c r="A53" s="196"/>
      <c r="B53" s="197"/>
      <c r="C53" s="231"/>
      <c r="D53" s="247" t="e">
        <f t="shared" ref="D53:I53" si="5">IF(D39=0,"",IF(AND((SUM($F$22:$F$28)*0.7)&lt;=SUM($D$39:$I$39),D42="ja",D40&lt;&gt;0),"ja","nein"))</f>
        <v>#REF!</v>
      </c>
      <c r="E53" s="247" t="e">
        <f t="shared" si="5"/>
        <v>#REF!</v>
      </c>
      <c r="F53" s="247" t="e">
        <f t="shared" si="5"/>
        <v>#REF!</v>
      </c>
      <c r="G53" s="247" t="e">
        <f t="shared" si="5"/>
        <v>#REF!</v>
      </c>
      <c r="H53" s="247" t="e">
        <f t="shared" si="5"/>
        <v>#REF!</v>
      </c>
      <c r="I53" s="247" t="e">
        <f t="shared" si="5"/>
        <v>#REF!</v>
      </c>
    </row>
    <row r="54" spans="1:9" x14ac:dyDescent="0.25">
      <c r="A54" s="146"/>
      <c r="B54" s="147"/>
      <c r="C54" s="124"/>
      <c r="D54" s="184"/>
      <c r="E54" s="183"/>
      <c r="F54" s="192"/>
      <c r="G54" s="181"/>
      <c r="H54" s="181"/>
    </row>
    <row r="55" spans="1:9" x14ac:dyDescent="0.25">
      <c r="A55" s="230" t="s">
        <v>242</v>
      </c>
      <c r="B55" s="147"/>
      <c r="C55" s="124"/>
      <c r="D55" s="184"/>
      <c r="E55" s="183"/>
      <c r="F55" s="192"/>
      <c r="G55" s="181"/>
      <c r="H55" s="181"/>
    </row>
    <row r="56" spans="1:9" x14ac:dyDescent="0.25">
      <c r="A56" s="248" t="e">
        <f>IF(AND(D53="",E53="",F53="",G53="",H53="",I53=""),"",IF(D53="nein","nein",IF(E53="nein","nein",IF(F53="nein","nein",IF(G53="nein","nein",IF(H53="nein","nein",IF(I53="nein","nein","ja")))))))</f>
        <v>#REF!</v>
      </c>
      <c r="B56" s="147"/>
      <c r="C56" s="124"/>
      <c r="D56" s="184"/>
      <c r="E56" s="183"/>
      <c r="F56" s="192"/>
      <c r="G56" s="181"/>
      <c r="H56" s="181"/>
    </row>
    <row r="57" spans="1:9" x14ac:dyDescent="0.25">
      <c r="A57" s="230"/>
      <c r="B57" s="147"/>
      <c r="C57" s="124"/>
      <c r="D57" s="184"/>
      <c r="E57" s="183"/>
      <c r="F57" s="192"/>
      <c r="G57" s="181"/>
      <c r="H57" s="181"/>
    </row>
    <row r="59" spans="1:9" ht="15.75" thickBot="1" x14ac:dyDescent="0.3">
      <c r="A59" s="4" t="s">
        <v>227</v>
      </c>
    </row>
    <row r="60" spans="1:9" ht="14.25" customHeight="1" x14ac:dyDescent="0.25">
      <c r="A60" s="594" t="str">
        <f>IF(A31="nein","",IF(A49="ja",A90,A91))</f>
        <v>Die Pferdehaltung erfüllt die Voraussetzungen an die überwiegend betriebseigene Futtergrundlage nicht.</v>
      </c>
      <c r="B60" s="595"/>
      <c r="C60" s="595"/>
      <c r="D60" s="595"/>
      <c r="E60" s="595"/>
      <c r="F60" s="595"/>
      <c r="G60" s="595"/>
      <c r="H60" s="596"/>
    </row>
    <row r="61" spans="1:9" ht="15" customHeight="1" thickBot="1" x14ac:dyDescent="0.3">
      <c r="A61" s="597"/>
      <c r="B61" s="598"/>
      <c r="C61" s="598"/>
      <c r="D61" s="598"/>
      <c r="E61" s="598"/>
      <c r="F61" s="598"/>
      <c r="G61" s="598"/>
      <c r="H61" s="599"/>
    </row>
    <row r="63" spans="1:9" ht="15.75" thickBot="1" x14ac:dyDescent="0.3">
      <c r="A63" s="4" t="s">
        <v>228</v>
      </c>
    </row>
    <row r="64" spans="1:9" x14ac:dyDescent="0.25">
      <c r="A64" s="594" t="str">
        <f>IF(A31="ja","",IF(A56="ja",A90,A91))</f>
        <v/>
      </c>
      <c r="B64" s="595"/>
      <c r="C64" s="595"/>
      <c r="D64" s="595"/>
      <c r="E64" s="595"/>
      <c r="F64" s="595"/>
      <c r="G64" s="595"/>
      <c r="H64" s="596"/>
    </row>
    <row r="65" spans="1:8" ht="15.75" thickBot="1" x14ac:dyDescent="0.3">
      <c r="A65" s="597"/>
      <c r="B65" s="598"/>
      <c r="C65" s="598"/>
      <c r="D65" s="598"/>
      <c r="E65" s="598"/>
      <c r="F65" s="598"/>
      <c r="G65" s="598"/>
      <c r="H65" s="599"/>
    </row>
    <row r="67" spans="1:8" x14ac:dyDescent="0.25">
      <c r="A67" s="187" t="s">
        <v>234</v>
      </c>
    </row>
    <row r="68" spans="1:8" x14ac:dyDescent="0.25">
      <c r="A68" t="s">
        <v>235</v>
      </c>
    </row>
    <row r="70" spans="1:8" x14ac:dyDescent="0.25">
      <c r="A70" s="187" t="s">
        <v>236</v>
      </c>
    </row>
    <row r="71" spans="1:8" x14ac:dyDescent="0.25">
      <c r="A71" t="s">
        <v>237</v>
      </c>
    </row>
    <row r="74" spans="1:8" x14ac:dyDescent="0.25">
      <c r="A74" s="187" t="s">
        <v>231</v>
      </c>
    </row>
    <row r="75" spans="1:8" x14ac:dyDescent="0.25">
      <c r="A75" t="s">
        <v>232</v>
      </c>
    </row>
    <row r="76" spans="1:8" x14ac:dyDescent="0.25">
      <c r="A76" t="s">
        <v>233</v>
      </c>
    </row>
    <row r="79" spans="1:8" x14ac:dyDescent="0.25">
      <c r="A79" s="187" t="s">
        <v>229</v>
      </c>
    </row>
    <row r="80" spans="1:8" x14ac:dyDescent="0.25">
      <c r="A80" t="s">
        <v>277</v>
      </c>
    </row>
    <row r="81" spans="1:16" ht="14.25" x14ac:dyDescent="0.2">
      <c r="A81" t="s">
        <v>275</v>
      </c>
      <c r="K81"/>
    </row>
    <row r="84" spans="1:16" ht="14.25" x14ac:dyDescent="0.2">
      <c r="A84" s="187" t="s">
        <v>210</v>
      </c>
      <c r="K84"/>
    </row>
    <row r="85" spans="1:16" ht="14.25" x14ac:dyDescent="0.2">
      <c r="A85" s="187" t="s">
        <v>202</v>
      </c>
      <c r="K85"/>
    </row>
    <row r="86" spans="1:16" ht="14.25" x14ac:dyDescent="0.2">
      <c r="A86" s="187" t="s">
        <v>192</v>
      </c>
      <c r="K86"/>
    </row>
    <row r="89" spans="1:16" ht="14.25" x14ac:dyDescent="0.2">
      <c r="A89" s="187" t="s">
        <v>226</v>
      </c>
      <c r="K89"/>
    </row>
    <row r="90" spans="1:16" ht="14.25" x14ac:dyDescent="0.2">
      <c r="A90" s="201" t="s">
        <v>224</v>
      </c>
      <c r="K90"/>
    </row>
    <row r="91" spans="1:16" ht="14.25" customHeight="1" x14ac:dyDescent="0.2">
      <c r="A91" t="s">
        <v>225</v>
      </c>
      <c r="K91"/>
      <c r="M91" s="586" t="s">
        <v>268</v>
      </c>
      <c r="N91" s="584" t="s">
        <v>269</v>
      </c>
      <c r="O91" s="586" t="s">
        <v>270</v>
      </c>
    </row>
    <row r="92" spans="1:16" x14ac:dyDescent="0.25">
      <c r="M92" s="587"/>
      <c r="N92" s="585"/>
      <c r="O92" s="588"/>
    </row>
    <row r="93" spans="1:16" ht="14.25" customHeight="1" x14ac:dyDescent="0.2">
      <c r="K93" s="586" t="s">
        <v>266</v>
      </c>
      <c r="L93" s="584" t="s">
        <v>267</v>
      </c>
      <c r="M93" s="587"/>
      <c r="N93" s="585"/>
      <c r="O93" s="588"/>
    </row>
    <row r="94" spans="1:16" ht="14.25" customHeight="1" x14ac:dyDescent="0.2">
      <c r="A94" t="s">
        <v>262</v>
      </c>
      <c r="K94" s="589"/>
      <c r="L94" s="590"/>
      <c r="M94" s="587"/>
      <c r="N94" s="585"/>
      <c r="O94" s="588"/>
    </row>
    <row r="95" spans="1:16" ht="14.25" customHeight="1" x14ac:dyDescent="0.2">
      <c r="A95" s="95" t="s">
        <v>253</v>
      </c>
      <c r="B95" s="96"/>
      <c r="C95" s="96"/>
      <c r="D95" s="96"/>
      <c r="E95" s="96"/>
      <c r="F95" s="96"/>
      <c r="G95" s="96"/>
      <c r="H95" s="96"/>
      <c r="I95" s="85"/>
      <c r="K95" s="589"/>
      <c r="L95" s="590"/>
      <c r="M95" s="587"/>
      <c r="N95" s="585"/>
      <c r="O95" s="588"/>
    </row>
    <row r="96" spans="1:16" ht="48" x14ac:dyDescent="0.2">
      <c r="A96" s="139" t="s">
        <v>6</v>
      </c>
      <c r="B96" s="525" t="s">
        <v>245</v>
      </c>
      <c r="C96" s="526"/>
      <c r="D96" s="140"/>
      <c r="E96" s="141"/>
      <c r="F96" s="243" t="s">
        <v>212</v>
      </c>
      <c r="G96" s="243" t="s">
        <v>175</v>
      </c>
      <c r="H96" s="243" t="s">
        <v>243</v>
      </c>
      <c r="I96" s="243" t="s">
        <v>244</v>
      </c>
      <c r="K96" s="294"/>
      <c r="L96" s="297"/>
      <c r="M96" s="294"/>
      <c r="N96" s="298"/>
      <c r="O96" s="295"/>
      <c r="P96" s="72"/>
    </row>
    <row r="97" spans="1:16" ht="14.25" x14ac:dyDescent="0.2">
      <c r="A97" s="97">
        <v>31</v>
      </c>
      <c r="B97" s="436" t="s">
        <v>52</v>
      </c>
      <c r="C97" s="504"/>
      <c r="D97" s="504"/>
      <c r="E97" s="501"/>
      <c r="F97" s="277">
        <f>'Eingabe und Berechnungen TS,DB'!F37</f>
        <v>0</v>
      </c>
      <c r="G97" s="278">
        <f>'Eingabe und Berechnungen TS,DB'!G37</f>
        <v>140</v>
      </c>
      <c r="H97" s="604">
        <f>'Eingabe und Berechnungen TS,DB'!H37</f>
        <v>0</v>
      </c>
      <c r="I97" s="293">
        <f>O97</f>
        <v>0</v>
      </c>
      <c r="K97" s="294"/>
      <c r="L97" s="297"/>
      <c r="M97" s="294"/>
      <c r="N97" s="302">
        <f>IF(N98&gt;=0,F97,F97+N98)</f>
        <v>0</v>
      </c>
      <c r="O97" s="257">
        <f>N97*G97</f>
        <v>0</v>
      </c>
      <c r="P97" s="72"/>
    </row>
    <row r="98" spans="1:16" ht="14.25" x14ac:dyDescent="0.2">
      <c r="A98" s="97">
        <v>31</v>
      </c>
      <c r="B98" s="436" t="s">
        <v>53</v>
      </c>
      <c r="C98" s="449"/>
      <c r="D98" s="449"/>
      <c r="E98" s="481"/>
      <c r="F98" s="277">
        <f>'Eingabe und Berechnungen TS,DB'!F38</f>
        <v>0</v>
      </c>
      <c r="G98" s="278">
        <f>'Eingabe und Berechnungen TS,DB'!G38</f>
        <v>110</v>
      </c>
      <c r="H98" s="605"/>
      <c r="I98" s="293" t="str">
        <f>O98</f>
        <v/>
      </c>
      <c r="K98" s="257">
        <f>G121*0.005</f>
        <v>0</v>
      </c>
      <c r="L98" s="300">
        <f>H97</f>
        <v>0</v>
      </c>
      <c r="M98" s="301">
        <f>L98+K98</f>
        <v>0</v>
      </c>
      <c r="N98" s="300">
        <f>F98-M98</f>
        <v>0</v>
      </c>
      <c r="O98" s="257" t="str">
        <f>IF(N98&lt;=0,"",N98*G98)</f>
        <v/>
      </c>
      <c r="P98" s="72"/>
    </row>
    <row r="99" spans="1:16" ht="14.25" x14ac:dyDescent="0.2">
      <c r="A99" s="100">
        <v>31</v>
      </c>
      <c r="B99" s="436" t="s">
        <v>142</v>
      </c>
      <c r="C99" s="449"/>
      <c r="D99" s="449"/>
      <c r="E99" s="481"/>
      <c r="F99" s="277">
        <f>'Eingabe und Berechnungen TS,DB'!F39</f>
        <v>0</v>
      </c>
      <c r="G99" s="278">
        <f>'Eingabe und Berechnungen TS,DB'!G39</f>
        <v>55</v>
      </c>
      <c r="H99" s="606"/>
      <c r="I99" s="292">
        <f>(F99+G121*0.005)*G99</f>
        <v>0</v>
      </c>
      <c r="K99" s="294"/>
      <c r="L99" s="297"/>
      <c r="M99" s="294"/>
      <c r="N99" s="298"/>
      <c r="O99" s="303">
        <f>I99</f>
        <v>0</v>
      </c>
      <c r="P99" s="72"/>
    </row>
    <row r="100" spans="1:16" s="72" customFormat="1" ht="14.25" x14ac:dyDescent="0.2">
      <c r="A100" s="101"/>
      <c r="B100" s="495"/>
      <c r="C100" s="607"/>
      <c r="D100" s="607"/>
      <c r="E100" s="607"/>
      <c r="F100" s="282"/>
      <c r="G100" s="283"/>
      <c r="H100" s="131"/>
      <c r="I100" s="102"/>
      <c r="K100" s="295"/>
      <c r="L100" s="298"/>
      <c r="M100" s="295"/>
      <c r="N100" s="298"/>
      <c r="O100" s="295"/>
    </row>
    <row r="101" spans="1:16" ht="14.25" x14ac:dyDescent="0.2">
      <c r="A101" s="103">
        <v>41</v>
      </c>
      <c r="B101" s="436" t="s">
        <v>52</v>
      </c>
      <c r="C101" s="449"/>
      <c r="D101" s="449"/>
      <c r="E101" s="481"/>
      <c r="F101" s="277">
        <f>'Eingabe und Berechnungen TS,DB'!F41</f>
        <v>0</v>
      </c>
      <c r="G101" s="278">
        <f>'Eingabe und Berechnungen TS,DB'!G41</f>
        <v>120</v>
      </c>
      <c r="H101" s="604">
        <f>'Eingabe und Berechnungen TS,DB'!H41</f>
        <v>0</v>
      </c>
      <c r="I101" s="293">
        <f>O101</f>
        <v>0</v>
      </c>
      <c r="K101" s="294"/>
      <c r="L101" s="297"/>
      <c r="M101" s="294"/>
      <c r="N101" s="302">
        <f>IF(N102&gt;=0,F101,F101+N102)</f>
        <v>0</v>
      </c>
      <c r="O101" s="257">
        <f>N101*G101</f>
        <v>0</v>
      </c>
      <c r="P101" s="72"/>
    </row>
    <row r="102" spans="1:16" ht="14.25" x14ac:dyDescent="0.2">
      <c r="A102" s="97">
        <v>41</v>
      </c>
      <c r="B102" s="436" t="s">
        <v>53</v>
      </c>
      <c r="C102" s="449"/>
      <c r="D102" s="449"/>
      <c r="E102" s="481"/>
      <c r="F102" s="277">
        <f>'Eingabe und Berechnungen TS,DB'!F42</f>
        <v>0</v>
      </c>
      <c r="G102" s="278">
        <f>'Eingabe und Berechnungen TS,DB'!G42</f>
        <v>100</v>
      </c>
      <c r="H102" s="605"/>
      <c r="I102" s="293" t="str">
        <f>O102</f>
        <v/>
      </c>
      <c r="K102" s="257">
        <f>H121*0.005</f>
        <v>0</v>
      </c>
      <c r="L102" s="300">
        <f>H101</f>
        <v>0</v>
      </c>
      <c r="M102" s="301">
        <f>K102+L102</f>
        <v>0</v>
      </c>
      <c r="N102" s="300">
        <f>F102-M102</f>
        <v>0</v>
      </c>
      <c r="O102" s="257" t="str">
        <f>IF(N102&lt;=0,"",N102*G102)</f>
        <v/>
      </c>
      <c r="P102" s="72"/>
    </row>
    <row r="103" spans="1:16" x14ac:dyDescent="0.25">
      <c r="A103" s="97">
        <v>41</v>
      </c>
      <c r="B103" s="436" t="s">
        <v>142</v>
      </c>
      <c r="C103" s="449"/>
      <c r="D103" s="449"/>
      <c r="E103" s="481"/>
      <c r="F103" s="277">
        <f>'Eingabe und Berechnungen TS,DB'!F43</f>
        <v>0</v>
      </c>
      <c r="G103" s="278">
        <f>'Eingabe und Berechnungen TS,DB'!G43</f>
        <v>50</v>
      </c>
      <c r="H103" s="606"/>
      <c r="I103" s="291">
        <f>(F103+H121*0.005)*G103</f>
        <v>0</v>
      </c>
      <c r="K103" s="296"/>
      <c r="L103" s="297"/>
      <c r="M103" s="294"/>
      <c r="N103" s="298"/>
      <c r="O103" s="303">
        <f>I103</f>
        <v>0</v>
      </c>
      <c r="P103" s="72"/>
    </row>
    <row r="104" spans="1:16" s="72" customFormat="1" ht="14.25" x14ac:dyDescent="0.2">
      <c r="A104" s="101"/>
      <c r="B104" s="495"/>
      <c r="C104" s="607"/>
      <c r="D104" s="607"/>
      <c r="E104" s="607"/>
      <c r="F104" s="282"/>
      <c r="G104" s="283"/>
      <c r="H104" s="131"/>
      <c r="I104" s="102"/>
      <c r="K104" s="295"/>
      <c r="L104" s="298"/>
      <c r="M104" s="295"/>
      <c r="N104" s="298"/>
      <c r="O104" s="295"/>
    </row>
    <row r="105" spans="1:16" ht="14.25" x14ac:dyDescent="0.2">
      <c r="A105" s="97">
        <v>51</v>
      </c>
      <c r="B105" s="436" t="s">
        <v>52</v>
      </c>
      <c r="C105" s="449"/>
      <c r="D105" s="449"/>
      <c r="E105" s="481"/>
      <c r="F105" s="277">
        <f>'Eingabe und Berechnungen TS,DB'!F45</f>
        <v>0</v>
      </c>
      <c r="G105" s="278">
        <f>'Eingabe und Berechnungen TS,DB'!G45</f>
        <v>110</v>
      </c>
      <c r="H105" s="604">
        <f>'Eingabe und Berechnungen TS,DB'!H45</f>
        <v>0</v>
      </c>
      <c r="I105" s="293">
        <f>O105</f>
        <v>0</v>
      </c>
      <c r="K105" s="294"/>
      <c r="L105" s="297"/>
      <c r="M105" s="294"/>
      <c r="N105" s="302">
        <f>IF(N106&gt;=0,F105,F105+N106)</f>
        <v>0</v>
      </c>
      <c r="O105" s="257">
        <f>N105*G105</f>
        <v>0</v>
      </c>
      <c r="P105" s="72"/>
    </row>
    <row r="106" spans="1:16" ht="14.25" x14ac:dyDescent="0.2">
      <c r="A106" s="97">
        <v>51</v>
      </c>
      <c r="B106" s="436" t="s">
        <v>53</v>
      </c>
      <c r="C106" s="449"/>
      <c r="D106" s="449"/>
      <c r="E106" s="481"/>
      <c r="F106" s="277">
        <f>'Eingabe und Berechnungen TS,DB'!F46</f>
        <v>0</v>
      </c>
      <c r="G106" s="278">
        <f>'Eingabe und Berechnungen TS,DB'!G46</f>
        <v>90</v>
      </c>
      <c r="H106" s="605"/>
      <c r="I106" s="293" t="str">
        <f>O106</f>
        <v/>
      </c>
      <c r="K106" s="257">
        <f>I121*0.005</f>
        <v>0</v>
      </c>
      <c r="L106" s="300">
        <f>H105</f>
        <v>0</v>
      </c>
      <c r="M106" s="301">
        <f>K106+L106</f>
        <v>0</v>
      </c>
      <c r="N106" s="300">
        <f>F106-M106</f>
        <v>0</v>
      </c>
      <c r="O106" s="257" t="str">
        <f>IF(N106&lt;=0,"",N106*G106)</f>
        <v/>
      </c>
      <c r="P106" s="72"/>
    </row>
    <row r="107" spans="1:16" x14ac:dyDescent="0.25">
      <c r="A107" s="97">
        <v>51</v>
      </c>
      <c r="B107" s="436" t="s">
        <v>142</v>
      </c>
      <c r="C107" s="449"/>
      <c r="D107" s="449"/>
      <c r="E107" s="481"/>
      <c r="F107" s="277">
        <f>'Eingabe und Berechnungen TS,DB'!F47</f>
        <v>0</v>
      </c>
      <c r="G107" s="278">
        <f>'Eingabe und Berechnungen TS,DB'!G47</f>
        <v>45</v>
      </c>
      <c r="H107" s="606"/>
      <c r="I107" s="291">
        <f>(F107+I121*0.005)*G107</f>
        <v>0</v>
      </c>
      <c r="N107" s="72"/>
      <c r="O107" s="299">
        <f>I107</f>
        <v>0</v>
      </c>
      <c r="P107" s="72"/>
    </row>
    <row r="108" spans="1:16" s="72" customFormat="1" ht="14.25" x14ac:dyDescent="0.2">
      <c r="A108" s="101"/>
      <c r="B108" s="495"/>
      <c r="C108" s="607"/>
      <c r="D108" s="607"/>
      <c r="E108" s="607"/>
      <c r="F108" s="282"/>
      <c r="G108" s="283"/>
      <c r="H108" s="131"/>
      <c r="I108" s="102"/>
    </row>
    <row r="109" spans="1:16" ht="14.25" x14ac:dyDescent="0.2">
      <c r="A109" s="97">
        <v>52</v>
      </c>
      <c r="B109" s="436" t="s">
        <v>52</v>
      </c>
      <c r="C109" s="449"/>
      <c r="D109" s="449"/>
      <c r="E109" s="481"/>
      <c r="F109" s="277">
        <f>'Eingabe und Berechnungen TS,DB'!F49</f>
        <v>0</v>
      </c>
      <c r="G109" s="278">
        <f>'Eingabe und Berechnungen TS,DB'!G49</f>
        <v>100</v>
      </c>
      <c r="H109" s="604">
        <f>'Eingabe und Berechnungen TS,DB'!H49</f>
        <v>0</v>
      </c>
      <c r="I109" s="251">
        <f>IF(F109="","",IF((F110-H109)&gt;=0,F109*G109,IF(F110-H109&lt;0,((F109+(F110-H109))*G109),"")))</f>
        <v>0</v>
      </c>
      <c r="K109"/>
      <c r="N109" s="72"/>
      <c r="O109" s="72"/>
      <c r="P109" s="72"/>
    </row>
    <row r="110" spans="1:16" ht="14.25" x14ac:dyDescent="0.2">
      <c r="A110" s="97">
        <v>52</v>
      </c>
      <c r="B110" s="436" t="s">
        <v>246</v>
      </c>
      <c r="C110" s="449"/>
      <c r="D110" s="449"/>
      <c r="E110" s="481"/>
      <c r="F110" s="277">
        <f>'Eingabe und Berechnungen TS,DB'!F50</f>
        <v>0</v>
      </c>
      <c r="G110" s="278">
        <f>'Eingabe und Berechnungen TS,DB'!G50</f>
        <v>80</v>
      </c>
      <c r="H110" s="606"/>
      <c r="I110" s="251">
        <f>IF(F110=0,0,IF(AND(F110&lt;&gt;0,(F110-H109)&gt;=0),((F110)-H109)*G110,""))</f>
        <v>0</v>
      </c>
      <c r="K110"/>
      <c r="N110" s="72"/>
      <c r="O110" s="72"/>
      <c r="P110" s="72"/>
    </row>
    <row r="111" spans="1:16" s="72" customFormat="1" ht="14.25" x14ac:dyDescent="0.2">
      <c r="A111" s="101"/>
      <c r="B111" s="495"/>
      <c r="C111" s="607"/>
      <c r="D111" s="607"/>
      <c r="E111" s="607"/>
      <c r="F111" s="282"/>
      <c r="G111" s="283"/>
      <c r="H111" s="131"/>
      <c r="I111" s="102"/>
    </row>
    <row r="112" spans="1:16" ht="14.25" x14ac:dyDescent="0.2">
      <c r="A112" s="97">
        <v>53</v>
      </c>
      <c r="B112" s="436" t="s">
        <v>55</v>
      </c>
      <c r="C112" s="449"/>
      <c r="D112" s="449"/>
      <c r="E112" s="481"/>
      <c r="F112" s="277">
        <f>'Eingabe und Berechnungen TS,DB'!F52</f>
        <v>0</v>
      </c>
      <c r="G112" s="278">
        <f>'Eingabe und Berechnungen TS,DB'!G52</f>
        <v>70</v>
      </c>
      <c r="H112" s="280">
        <f>'Eingabe und Berechnungen TS,DB'!H52</f>
        <v>0</v>
      </c>
      <c r="I112" s="251">
        <f>IF(F112=0,0,IF(AND(F112&lt;&gt;0,(F112-H111)&gt;=0),((F112)-H111)*G112,""))</f>
        <v>0</v>
      </c>
      <c r="K112"/>
      <c r="O112" s="72"/>
      <c r="P112" s="72"/>
    </row>
    <row r="113" spans="1:16" s="72" customFormat="1" ht="14.25" x14ac:dyDescent="0.2">
      <c r="A113" s="101"/>
      <c r="B113" s="495"/>
      <c r="C113" s="607"/>
      <c r="D113" s="607"/>
      <c r="E113" s="607"/>
      <c r="F113" s="282"/>
      <c r="G113" s="283"/>
      <c r="H113" s="157"/>
      <c r="I113" s="102"/>
    </row>
    <row r="114" spans="1:16" x14ac:dyDescent="0.25">
      <c r="A114" s="97">
        <v>54</v>
      </c>
      <c r="B114" s="436" t="s">
        <v>55</v>
      </c>
      <c r="C114" s="449"/>
      <c r="D114" s="449"/>
      <c r="E114" s="481"/>
      <c r="F114" s="277">
        <f>'Eingabe und Berechnungen TS,DB'!F54</f>
        <v>0</v>
      </c>
      <c r="G114" s="278">
        <f>'Eingabe und Berechnungen TS,DB'!G54</f>
        <v>60</v>
      </c>
      <c r="H114" s="280">
        <f>'Eingabe und Berechnungen TS,DB'!H54</f>
        <v>0</v>
      </c>
      <c r="I114" s="251">
        <f>IF(F114=0,0,IF(AND(F114&lt;&gt;0,(F114-H113)&gt;=0),((F114)-H113)*G114,""))</f>
        <v>0</v>
      </c>
      <c r="O114" s="72"/>
      <c r="P114" s="72"/>
    </row>
    <row r="115" spans="1:16" s="72" customFormat="1" ht="14.25" x14ac:dyDescent="0.2">
      <c r="A115" s="284"/>
      <c r="B115" s="259"/>
      <c r="C115" s="285"/>
      <c r="D115" s="286"/>
      <c r="E115" s="285"/>
      <c r="F115" s="282"/>
      <c r="G115" s="261"/>
      <c r="H115" s="158"/>
      <c r="I115" s="260"/>
    </row>
    <row r="116" spans="1:16" x14ac:dyDescent="0.25">
      <c r="A116" s="154" t="s">
        <v>249</v>
      </c>
      <c r="B116" s="155"/>
      <c r="C116" s="156"/>
      <c r="D116" s="156"/>
      <c r="E116" s="156"/>
      <c r="F116" s="289">
        <f>SUM(F97:F114)</f>
        <v>0</v>
      </c>
      <c r="G116" s="237" t="s">
        <v>155</v>
      </c>
      <c r="H116" s="288">
        <f>'Eingabe und Berechnungen TS,DB'!H56</f>
        <v>0</v>
      </c>
      <c r="I116" s="290">
        <f>SUM(I97:I114,I118)</f>
        <v>0</v>
      </c>
    </row>
    <row r="117" spans="1:16" s="72" customFormat="1" ht="14.25" x14ac:dyDescent="0.2">
      <c r="A117" s="287"/>
      <c r="B117" s="135"/>
      <c r="C117" s="131"/>
      <c r="D117" s="131"/>
      <c r="E117" s="131"/>
      <c r="F117" s="282"/>
      <c r="G117" s="135"/>
      <c r="H117" s="131"/>
      <c r="I117" s="131"/>
    </row>
    <row r="118" spans="1:16" x14ac:dyDescent="0.25">
      <c r="A118" s="517" t="s">
        <v>191</v>
      </c>
      <c r="B118" s="517"/>
      <c r="C118" s="517"/>
      <c r="D118" s="517"/>
      <c r="E118" s="517"/>
      <c r="F118" s="277">
        <f>'Eingabe und Berechnungen TS,DB'!F58</f>
        <v>0</v>
      </c>
      <c r="G118" s="279">
        <f>'Eingabe und Berechnungen TS,DB'!G58</f>
        <v>16</v>
      </c>
      <c r="H118" s="271"/>
      <c r="I118" s="235">
        <f>F118*G118</f>
        <v>0</v>
      </c>
    </row>
    <row r="119" spans="1:16" x14ac:dyDescent="0.25">
      <c r="A119" s="106"/>
      <c r="B119" s="106"/>
      <c r="C119" s="106"/>
      <c r="D119" s="106"/>
      <c r="E119" s="85"/>
      <c r="F119" s="85"/>
      <c r="G119" s="106"/>
      <c r="H119" s="106"/>
      <c r="I119" s="106"/>
    </row>
    <row r="120" spans="1:16" x14ac:dyDescent="0.25">
      <c r="A120" s="85"/>
      <c r="B120" s="85"/>
      <c r="C120" s="85"/>
      <c r="D120" s="85"/>
      <c r="E120" s="85"/>
      <c r="F120" s="85"/>
      <c r="G120" s="97" t="s">
        <v>123</v>
      </c>
      <c r="H120" s="97" t="s">
        <v>101</v>
      </c>
      <c r="I120" s="97" t="s">
        <v>102</v>
      </c>
    </row>
    <row r="121" spans="1:16" x14ac:dyDescent="0.25">
      <c r="A121" s="608" t="s">
        <v>141</v>
      </c>
      <c r="B121" s="609"/>
      <c r="C121" s="609"/>
      <c r="D121" s="449"/>
      <c r="E121" s="449"/>
      <c r="F121" s="481"/>
      <c r="G121" s="281">
        <f>'Eingabe und Berechnungen TS,DB'!D61</f>
        <v>0</v>
      </c>
      <c r="H121" s="281">
        <f>'Eingabe und Berechnungen TS,DB'!E61</f>
        <v>0</v>
      </c>
      <c r="I121" s="281">
        <f>'Eingabe und Berechnungen TS,DB'!F61</f>
        <v>0</v>
      </c>
    </row>
    <row r="124" spans="1:16" x14ac:dyDescent="0.25">
      <c r="A124" s="187" t="s">
        <v>263</v>
      </c>
    </row>
    <row r="125" spans="1:16" x14ac:dyDescent="0.25">
      <c r="A125" s="187" t="s">
        <v>264</v>
      </c>
    </row>
    <row r="126" spans="1:16" x14ac:dyDescent="0.25">
      <c r="A126" s="187" t="s">
        <v>265</v>
      </c>
    </row>
  </sheetData>
  <dataConsolidate/>
  <mergeCells count="63">
    <mergeCell ref="B112:E112"/>
    <mergeCell ref="B113:E113"/>
    <mergeCell ref="B114:E114"/>
    <mergeCell ref="A118:E118"/>
    <mergeCell ref="A121:F121"/>
    <mergeCell ref="B108:E108"/>
    <mergeCell ref="B109:E109"/>
    <mergeCell ref="H109:H110"/>
    <mergeCell ref="B110:E110"/>
    <mergeCell ref="B111:E111"/>
    <mergeCell ref="B104:E104"/>
    <mergeCell ref="B105:E105"/>
    <mergeCell ref="H105:H107"/>
    <mergeCell ref="B106:E106"/>
    <mergeCell ref="B107:E107"/>
    <mergeCell ref="B100:E100"/>
    <mergeCell ref="B101:E101"/>
    <mergeCell ref="H101:H103"/>
    <mergeCell ref="B102:E102"/>
    <mergeCell ref="B103:E103"/>
    <mergeCell ref="B96:C96"/>
    <mergeCell ref="B97:E97"/>
    <mergeCell ref="H97:H99"/>
    <mergeCell ref="B98:E98"/>
    <mergeCell ref="B99:E99"/>
    <mergeCell ref="G11:I11"/>
    <mergeCell ref="G12:I12"/>
    <mergeCell ref="G10:I10"/>
    <mergeCell ref="A43:C43"/>
    <mergeCell ref="A5:B5"/>
    <mergeCell ref="A6:B6"/>
    <mergeCell ref="A7:B7"/>
    <mergeCell ref="A8:B8"/>
    <mergeCell ref="A9:B9"/>
    <mergeCell ref="A10:B10"/>
    <mergeCell ref="A28:B28"/>
    <mergeCell ref="A14:B14"/>
    <mergeCell ref="A15:B15"/>
    <mergeCell ref="A16:B16"/>
    <mergeCell ref="A17:B17"/>
    <mergeCell ref="A18:B18"/>
    <mergeCell ref="A60:H61"/>
    <mergeCell ref="A64:H65"/>
    <mergeCell ref="A19:B19"/>
    <mergeCell ref="A34:B34"/>
    <mergeCell ref="A36:B36"/>
    <mergeCell ref="A22:B22"/>
    <mergeCell ref="A23:B23"/>
    <mergeCell ref="A24:B24"/>
    <mergeCell ref="A25:B25"/>
    <mergeCell ref="A27:B27"/>
    <mergeCell ref="K10:L10"/>
    <mergeCell ref="F4:H4"/>
    <mergeCell ref="K5:L5"/>
    <mergeCell ref="K6:L6"/>
    <mergeCell ref="K7:L7"/>
    <mergeCell ref="K8:L8"/>
    <mergeCell ref="K9:L9"/>
    <mergeCell ref="N91:N95"/>
    <mergeCell ref="M91:M95"/>
    <mergeCell ref="O91:O95"/>
    <mergeCell ref="K93:K95"/>
    <mergeCell ref="L93:L95"/>
  </mergeCells>
  <conditionalFormatting sqref="D43:I43">
    <cfRule type="containsText" dxfId="0" priority="3" operator="containsText" text="nein">
      <formula>NOT(ISERROR(SEARCH("nein",D43)))</formula>
    </cfRule>
  </conditionalFormatting>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Eingabe und Berechnungen TS,DB</vt:lpstr>
      <vt:lpstr>Beurteilung_Matrix_intern</vt:lpstr>
      <vt:lpstr>DB_ÖLN</vt:lpstr>
      <vt:lpstr>DB_Bio</vt:lpstr>
      <vt:lpstr>Text</vt:lpstr>
      <vt:lpstr>Bemerkungen</vt:lpstr>
      <vt:lpstr>Berechnungen_Grundlagen</vt:lpstr>
      <vt:lpstr>'Eingabe und Berechnungen TS,DB'!Druckbereich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Rudolf</dc:creator>
  <cp:lastModifiedBy>Kaufmann-Reber Corinne, WEU-LANAT-ASP</cp:lastModifiedBy>
  <cp:lastPrinted>2024-08-12T14:44:13Z</cp:lastPrinted>
  <dcterms:created xsi:type="dcterms:W3CDTF">2014-01-31T17:05:07Z</dcterms:created>
  <dcterms:modified xsi:type="dcterms:W3CDTF">2025-03-14T07:31:05Z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2024-08-06T10:27:16Z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7b39160c-1979-4707-83ad-57e6a3173167</vt:lpwstr>
  </property>
  <property fmtid="{D5CDD505-2E9C-101B-9397-08002B2CF9AE}" pid="8" name="MSIP_Label_74fdd986-87d9-48c6-acda-407b1ab5fef0_ContentBits">
    <vt:lpwstr>0</vt:lpwstr>
  </property>
</Properties>
</file>