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76a-cfs-user.infra.be.ch\a76a-cfs-user\UserHomes\mhfg\Z_Systems\RedirectedFolders\Documents\CMI\c165f48c3d3a47f49b0157f9765c1b73\"/>
    </mc:Choice>
  </mc:AlternateContent>
  <xr:revisionPtr revIDLastSave="0" documentId="13_ncr:1_{7F661D58-9AEB-4236-894F-8749B8D2D2F0}" xr6:coauthVersionLast="47" xr6:coauthVersionMax="47" xr10:uidLastSave="{00000000-0000-0000-0000-000000000000}"/>
  <bookViews>
    <workbookView xWindow="10500" yWindow="0" windowWidth="17625" windowHeight="15585" xr2:uid="{00000000-000D-0000-FFFF-FFFF00000000}"/>
  </bookViews>
  <sheets>
    <sheet name="Eingabe" sheetId="1" r:id="rId1"/>
    <sheet name="Subventionsantrag" sheetId="2" state="hidden" r:id="rId2"/>
    <sheet name="Auszahlungsinformation" sheetId="8" state="hidden" r:id="rId3"/>
    <sheet name="Berechnung" sheetId="6" state="hidden" r:id="rId4"/>
    <sheet name="Grundlagen" sheetId="3" state="hidden" r:id="rId5"/>
    <sheet name="Briefkopf" sheetId="9" state="hidden" r:id="rId6"/>
    <sheet name="Reviere_WA" sheetId="4" state="hidden" r:id="rId7"/>
    <sheet name="Forstfachperson" sheetId="5" state="hidden" r:id="rId8"/>
  </sheets>
  <definedNames>
    <definedName name="_ftn1" localSheetId="2">Auszahlungsinformation!$B$42</definedName>
    <definedName name="_Hlk14861871" localSheetId="2">Auszahlungsinformation!$B$17</definedName>
    <definedName name="Amt" localSheetId="2">Auszahlungsinformation!$B$2</definedName>
    <definedName name="EMail_Amt" localSheetId="2">Auszahlungsinformation!$B$8</definedName>
    <definedName name="FromArray_1">_xlfn.ANCHORARRAY(Reviere_WA!$D$4)</definedName>
    <definedName name="Funktion" localSheetId="2">Auszahlungsinformation!$F$47</definedName>
    <definedName name="GrussRechts" localSheetId="2">Auszahlungsinformation!$F$39</definedName>
    <definedName name="Name" localSheetId="2">Auszahlungsinformation!$B$11</definedName>
    <definedName name="Name_1" localSheetId="2">Auszahlungsinformation!$F$46</definedName>
    <definedName name="OEBezeichnung" localSheetId="2">Auszahlungsinformation!$B$3</definedName>
    <definedName name="OEBezeichnung_3" localSheetId="2">Auszahlungsinformation!$F$41</definedName>
    <definedName name="PLZ_Ort" localSheetId="2">Auszahlungsinformation!$B$6</definedName>
    <definedName name="PLZ_ORT_1" localSheetId="2">Auszahlungsinformation!$F$5</definedName>
    <definedName name="Rufnummer" localSheetId="2">Auszahlungsinformation!$B$12</definedName>
    <definedName name="Strasse" localSheetId="2">Auszahlungsinformation!$B$5</definedName>
    <definedName name="Tel_Amt" localSheetId="2">Auszahlungsinformation!$B$7</definedName>
    <definedName name="www_Amt" localSheetId="2">Auszahlungsinformation!$B$9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A157" i="1" l="1"/>
  <c r="A130" i="1"/>
  <c r="A103" i="1"/>
  <c r="A76" i="1"/>
  <c r="A48" i="1"/>
  <c r="C39" i="5"/>
  <c r="C50" i="5"/>
  <c r="B23" i="8"/>
  <c r="G26" i="8"/>
  <c r="K3" i="9"/>
  <c r="K4" i="9"/>
  <c r="K5" i="9"/>
  <c r="K6" i="9"/>
  <c r="K7" i="9"/>
  <c r="K8" i="9"/>
  <c r="K9" i="9"/>
  <c r="K2" i="9"/>
  <c r="F8" i="8"/>
  <c r="F7" i="8"/>
  <c r="F6" i="8"/>
  <c r="H14" i="8"/>
  <c r="D21" i="1"/>
  <c r="C21" i="1"/>
  <c r="B21" i="1"/>
  <c r="D140" i="1"/>
  <c r="D139" i="1"/>
  <c r="D138" i="1"/>
  <c r="D137" i="1"/>
  <c r="D113" i="1"/>
  <c r="D112" i="1"/>
  <c r="D111" i="1"/>
  <c r="D110" i="1"/>
  <c r="D86" i="1"/>
  <c r="D85" i="1"/>
  <c r="D84" i="1"/>
  <c r="D83" i="1"/>
  <c r="D59" i="1"/>
  <c r="D58" i="1"/>
  <c r="D57" i="1"/>
  <c r="D56" i="1"/>
  <c r="D31" i="1"/>
  <c r="D30" i="1"/>
  <c r="D29" i="1"/>
  <c r="D28" i="1"/>
  <c r="A3" i="6"/>
  <c r="C3" i="6" s="1"/>
  <c r="D1" i="4"/>
  <c r="D4" i="4" s="1" a="1"/>
  <c r="D4" i="4" s="1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40" i="5"/>
  <c r="C41" i="5"/>
  <c r="C42" i="5"/>
  <c r="C43" i="5"/>
  <c r="C44" i="5"/>
  <c r="C45" i="5"/>
  <c r="C46" i="5"/>
  <c r="C47" i="5"/>
  <c r="C48" i="5"/>
  <c r="C49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1" i="5"/>
  <c r="D150" i="1"/>
  <c r="D149" i="1"/>
  <c r="D148" i="1"/>
  <c r="D147" i="1"/>
  <c r="D146" i="1"/>
  <c r="C140" i="1"/>
  <c r="C139" i="1"/>
  <c r="C138" i="1"/>
  <c r="C137" i="1"/>
  <c r="D123" i="1"/>
  <c r="D122" i="1"/>
  <c r="D121" i="1"/>
  <c r="D120" i="1"/>
  <c r="D119" i="1"/>
  <c r="C113" i="1"/>
  <c r="C112" i="1"/>
  <c r="C111" i="1"/>
  <c r="C110" i="1"/>
  <c r="D96" i="1"/>
  <c r="D95" i="1"/>
  <c r="D94" i="1"/>
  <c r="D93" i="1"/>
  <c r="D92" i="1"/>
  <c r="C86" i="1"/>
  <c r="C85" i="1"/>
  <c r="C84" i="1"/>
  <c r="C83" i="1"/>
  <c r="D69" i="1"/>
  <c r="D68" i="1"/>
  <c r="D67" i="1"/>
  <c r="D66" i="1"/>
  <c r="D65" i="1"/>
  <c r="C59" i="1"/>
  <c r="C58" i="1"/>
  <c r="C57" i="1"/>
  <c r="C56" i="1"/>
  <c r="C31" i="1"/>
  <c r="C30" i="1"/>
  <c r="C29" i="1"/>
  <c r="C28" i="1"/>
  <c r="B15" i="2"/>
  <c r="B14" i="2"/>
  <c r="B12" i="2"/>
  <c r="F11" i="2"/>
  <c r="F12" i="2"/>
  <c r="F10" i="2"/>
  <c r="B10" i="2"/>
  <c r="B11" i="2"/>
  <c r="F8" i="2"/>
  <c r="B13" i="6" l="1"/>
  <c r="B3" i="6"/>
  <c r="D3" i="6" s="1"/>
  <c r="A14" i="6"/>
  <c r="C14" i="6" s="1"/>
  <c r="B14" i="6"/>
  <c r="B8" i="6"/>
  <c r="A7" i="6"/>
  <c r="C7" i="6" s="1"/>
  <c r="A13" i="6"/>
  <c r="C13" i="6" s="1"/>
  <c r="A8" i="6"/>
  <c r="C8" i="6" s="1"/>
  <c r="B7" i="6"/>
  <c r="D124" i="1"/>
  <c r="D97" i="1"/>
  <c r="D70" i="1"/>
  <c r="D151" i="1"/>
  <c r="A128" i="1" l="1"/>
  <c r="H20" i="6"/>
  <c r="D128" i="1"/>
  <c r="D130" i="1" s="1"/>
  <c r="C128" i="1"/>
  <c r="D101" i="1"/>
  <c r="D103" i="1" s="1"/>
  <c r="C101" i="1"/>
  <c r="H19" i="6"/>
  <c r="A101" i="1"/>
  <c r="C155" i="1"/>
  <c r="H21" i="6"/>
  <c r="A155" i="1"/>
  <c r="D155" i="1"/>
  <c r="D157" i="1" s="1"/>
  <c r="D14" i="6"/>
  <c r="H18" i="6"/>
  <c r="D74" i="1"/>
  <c r="D76" i="1" s="1"/>
  <c r="C74" i="1"/>
  <c r="A74" i="1"/>
  <c r="C26" i="6"/>
  <c r="D8" i="6"/>
  <c r="D7" i="6"/>
  <c r="D13" i="6"/>
  <c r="D41" i="1"/>
  <c r="D40" i="1"/>
  <c r="D39" i="1"/>
  <c r="D38" i="1"/>
  <c r="D37" i="1"/>
  <c r="D42" i="1" l="1"/>
  <c r="H17" i="6" l="1"/>
  <c r="A20" i="6" s="1"/>
  <c r="D46" i="1"/>
  <c r="A46" i="1"/>
  <c r="C46" i="1"/>
  <c r="B20" i="6" l="1"/>
  <c r="C24" i="6" s="1"/>
  <c r="C27" i="6"/>
  <c r="B22" i="8" l="1"/>
  <c r="D161" i="1"/>
  <c r="C25" i="6"/>
  <c r="B13" i="8"/>
  <c r="B3" i="8"/>
  <c r="B6" i="8"/>
  <c r="F47" i="8"/>
  <c r="F5" i="8"/>
  <c r="F41" i="8"/>
  <c r="F46" i="8"/>
  <c r="B7" i="8"/>
  <c r="B12" i="8"/>
  <c r="B11" i="8"/>
  <c r="B5" i="8"/>
  <c r="C19" i="2"/>
  <c r="A24" i="2" s="1"/>
  <c r="B8" i="8"/>
  <c r="D23" i="2" l="1"/>
  <c r="D24" i="2"/>
  <c r="D25" i="2"/>
  <c r="A23" i="2"/>
  <c r="A25" i="2"/>
  <c r="C20" i="2"/>
  <c r="F25" i="2"/>
  <c r="F23" i="2"/>
  <c r="F24" i="2"/>
  <c r="F1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<sst xmlns="http://schemas.openxmlformats.org/spreadsheetml/2006/main" count="918" uniqueCount="481">
  <si>
    <t>Flächenanteil in [%]</t>
  </si>
  <si>
    <t>Flächengrösse in [ha]</t>
  </si>
  <si>
    <t>Beiträge</t>
  </si>
  <si>
    <t>Anzahl in [m'/Stk./ha]</t>
  </si>
  <si>
    <r>
      <t>Abrechnung «Jungwaldpflege</t>
    </r>
    <r>
      <rPr>
        <b/>
        <vertAlign val="superscript"/>
        <sz val="16"/>
        <color theme="1"/>
        <rFont val="Arial"/>
        <family val="2"/>
        <scheme val="minor"/>
      </rPr>
      <t>+</t>
    </r>
    <r>
      <rPr>
        <b/>
        <sz val="16"/>
        <color theme="1"/>
        <rFont val="Arial"/>
        <family val="2"/>
        <scheme val="minor"/>
      </rPr>
      <t>»</t>
    </r>
  </si>
  <si>
    <t>«Begründung ohne Alternativen»</t>
  </si>
  <si>
    <t>«Begründung mit Alternativen»</t>
  </si>
  <si>
    <t>«Lenkung»</t>
  </si>
  <si>
    <t>«Förderung»</t>
  </si>
  <si>
    <t>Zusatzoption «hoher Wildtiereinfluss»</t>
  </si>
  <si>
    <t>PLZ/Ort</t>
  </si>
  <si>
    <t>E-Mail </t>
  </si>
  <si>
    <t>Tel. </t>
  </si>
  <si>
    <t>Rechtsform</t>
  </si>
  <si>
    <t>Forstfachperson </t>
  </si>
  <si>
    <t>Waldabteilung</t>
  </si>
  <si>
    <t>Revier </t>
  </si>
  <si>
    <t>Abrechnungsjahr </t>
  </si>
  <si>
    <t>IBAN </t>
  </si>
  <si>
    <t>Kontoinhaber </t>
  </si>
  <si>
    <t>Wirtschafts-, Energie und </t>
  </si>
  <si>
    <t>Umweltdirektion </t>
  </si>
  <si>
    <t>Amt für Wald und Naturgefahren </t>
  </si>
  <si>
    <t>Kreditoren 4350 </t>
  </si>
  <si>
    <t>Freiburgstrasse 453 </t>
  </si>
  <si>
    <t>3018 Bern </t>
  </si>
  <si>
    <r>
      <t>Zahlungsinformationen Trägerschaft</t>
    </r>
    <r>
      <rPr>
        <sz val="10.5"/>
        <rFont val="Arial"/>
        <family val="2"/>
      </rPr>
      <t> </t>
    </r>
  </si>
  <si>
    <t>PLZ/Ort </t>
  </si>
  <si>
    <t>Rechtsform </t>
  </si>
  <si>
    <r>
      <t>Auszahlungsinformation</t>
    </r>
    <r>
      <rPr>
        <sz val="10.5"/>
        <rFont val="Arial"/>
        <family val="2"/>
      </rPr>
      <t> </t>
    </r>
  </si>
  <si>
    <t>Auszahlungsbetrag </t>
  </si>
  <si>
    <t>Belegdatum </t>
  </si>
  <si>
    <t>Auszahlungstext </t>
  </si>
  <si>
    <r>
      <t>Kontierung</t>
    </r>
    <r>
      <rPr>
        <sz val="10.5"/>
        <rFont val="Arial"/>
        <family val="2"/>
      </rPr>
      <t> </t>
    </r>
  </si>
  <si>
    <t>4300A-519003.E.002</t>
  </si>
  <si>
    <t>WAA Ost Jungwaldpflege ausserh. Schutzw.</t>
  </si>
  <si>
    <t>MZID</t>
  </si>
  <si>
    <t>MR7H</t>
  </si>
  <si>
    <t>4300A-519003.E.003</t>
  </si>
  <si>
    <t>WAA West Jungwaldpflege ausserh. Schutzw</t>
  </si>
  <si>
    <t>NC66</t>
  </si>
  <si>
    <t>4300A-519003.E.004</t>
  </si>
  <si>
    <t>WAV Ost Jungwaldpflege ausserh. Schutzw.</t>
  </si>
  <si>
    <t>MM85</t>
  </si>
  <si>
    <t>MM09</t>
  </si>
  <si>
    <t>4300A-519003.E.005</t>
  </si>
  <si>
    <t>WAV West Jungwaldpflege ausser. Schutzw.</t>
  </si>
  <si>
    <t>MG95</t>
  </si>
  <si>
    <t>4300A-519003.E.006</t>
  </si>
  <si>
    <t>WAM Ost Jungwaldpflege ausserh. Schutzw.</t>
  </si>
  <si>
    <t>MLXG</t>
  </si>
  <si>
    <t>MG5A</t>
  </si>
  <si>
    <t>4300A-519003.E.007</t>
  </si>
  <si>
    <t>WAM West Jungwaldpflege ausser. Schutzw.</t>
  </si>
  <si>
    <t>M3EN</t>
  </si>
  <si>
    <t>4300A-519003.E.008</t>
  </si>
  <si>
    <t>WABJ Jungwaldpflege ausserhalb Schutzw.</t>
  </si>
  <si>
    <t>MF6V</t>
  </si>
  <si>
    <t>M6SK</t>
  </si>
  <si>
    <t>4300A-519003.E.009</t>
  </si>
  <si>
    <t>WAM Mitte Jungwaldpflege ausser. Schutzw.</t>
  </si>
  <si>
    <t>MN1A</t>
  </si>
  <si>
    <t>thomas.girod@be.ch</t>
  </si>
  <si>
    <t>micha.trauffer@be.ch</t>
  </si>
  <si>
    <t>martin.staedeli@be.ch</t>
  </si>
  <si>
    <t>martin.kueng@be.ch</t>
  </si>
  <si>
    <t>silvio.schmid@be.ch</t>
  </si>
  <si>
    <t>isabel.ballmer@be.ch</t>
  </si>
  <si>
    <t>jonas.meyer@be.ch</t>
  </si>
  <si>
    <t>lucien.blaser@be.ch</t>
  </si>
  <si>
    <t>Saint-Imier</t>
  </si>
  <si>
    <t>Centre-Vallon</t>
  </si>
  <si>
    <t>Tournedos</t>
  </si>
  <si>
    <t>Moron</t>
  </si>
  <si>
    <t>Court - Sorvilier</t>
  </si>
  <si>
    <t>Raimeux et environs</t>
  </si>
  <si>
    <t>Mont Sujet - Nods</t>
  </si>
  <si>
    <t>ValForêt</t>
  </si>
  <si>
    <t>SFB Alpen</t>
  </si>
  <si>
    <t>SFB Voralpen</t>
  </si>
  <si>
    <t>SFB Mittelland</t>
  </si>
  <si>
    <t>EFD Jura bernois</t>
  </si>
  <si>
    <t>Forst Haslital</t>
  </si>
  <si>
    <t>Brünig Ost</t>
  </si>
  <si>
    <t>Brienz</t>
  </si>
  <si>
    <t>Bödeli plus</t>
  </si>
  <si>
    <t>Lütschinentäler</t>
  </si>
  <si>
    <t>Thunersee Süd</t>
  </si>
  <si>
    <t>Diemtigtal</t>
  </si>
  <si>
    <t>Lenk - St. Stephan</t>
  </si>
  <si>
    <t>Saanenland</t>
  </si>
  <si>
    <t>Kander- und Engstligental</t>
  </si>
  <si>
    <t>Beatenberg - Habkern</t>
  </si>
  <si>
    <t>Grindelwald</t>
  </si>
  <si>
    <t>Thun-Steffisburg-Zulgtal</t>
  </si>
  <si>
    <t>Sigriswil - Stockental</t>
  </si>
  <si>
    <t>Belpberg</t>
  </si>
  <si>
    <t>Oberes Gürbetal</t>
  </si>
  <si>
    <t>Gantrisch</t>
  </si>
  <si>
    <t>Köniz - Längenberg</t>
  </si>
  <si>
    <t>Kiesen- und Aaretal</t>
  </si>
  <si>
    <t>Sumiswald-Lützelflüh</t>
  </si>
  <si>
    <t>Amt Erlach</t>
  </si>
  <si>
    <t>Tubeloch</t>
  </si>
  <si>
    <t>Unteres Seeland</t>
  </si>
  <si>
    <t>Region Büren</t>
  </si>
  <si>
    <t>Lyss</t>
  </si>
  <si>
    <t>BG Bern</t>
  </si>
  <si>
    <t>Burgdorf</t>
  </si>
  <si>
    <t>Bipperamt</t>
  </si>
  <si>
    <t>Herzogenbuchsee</t>
  </si>
  <si>
    <t>Oberaargau Ost</t>
  </si>
  <si>
    <t>Unteres Langetental</t>
  </si>
  <si>
    <t>Huttwil</t>
  </si>
  <si>
    <t>Bern - Worblental</t>
  </si>
  <si>
    <t>Oberes Langetental</t>
  </si>
  <si>
    <t>Frienisberg</t>
  </si>
  <si>
    <t>öffentlich</t>
  </si>
  <si>
    <t>privat</t>
  </si>
  <si>
    <t>kantonal</t>
  </si>
  <si>
    <t>Waldabteilung Alpen</t>
  </si>
  <si>
    <t>Waldabteilung Voralpen</t>
  </si>
  <si>
    <t>Waldabteilung Mittelland</t>
  </si>
  <si>
    <t>Division forestière Jura bernois</t>
  </si>
  <si>
    <t>Boltigen</t>
  </si>
  <si>
    <t>Zweisimmen</t>
  </si>
  <si>
    <t>Signau</t>
  </si>
  <si>
    <t>Langnau</t>
  </si>
  <si>
    <t>Trub</t>
  </si>
  <si>
    <t>Eggiwil</t>
  </si>
  <si>
    <t>Aarberg-Jegenstorf</t>
  </si>
  <si>
    <t>Fraubrunnen</t>
  </si>
  <si>
    <t>Burgdorf Süd</t>
  </si>
  <si>
    <t>Wynigen</t>
  </si>
  <si>
    <t>Haut-Vallon</t>
  </si>
  <si>
    <t>Baroche - Péry - La Neuveville</t>
  </si>
  <si>
    <t>1) Allgemeine Abrechnungsangaben Trägerschaft</t>
  </si>
  <si>
    <t>Vor-/Name</t>
  </si>
  <si>
    <t>Strasse, Nr.</t>
  </si>
  <si>
    <t>3) Angaben pro WERDE</t>
  </si>
  <si>
    <t>2) Angaben für die Massnahmengruppe «Ergänzung»</t>
  </si>
  <si>
    <t>Flächenanteil in [ha]</t>
  </si>
  <si>
    <t>Wildschadenverhütungsmittel</t>
  </si>
  <si>
    <t>Einzelschutz mechanisch in [Stk.]</t>
  </si>
  <si>
    <t>Einzelschutz chemisch und weitere in [ha]</t>
  </si>
  <si>
    <t>Schälschutz mechanisch und chemisch in [Stk.]</t>
  </si>
  <si>
    <t>Zaun massiv, 2 m hoch, 20 J. Lebensdauer in [m']</t>
  </si>
  <si>
    <t>Zaun leicht, 2 m hoch, Dachlatten, 10 J. Lebensdauer in [m']</t>
  </si>
  <si>
    <t>Pauschalen</t>
  </si>
  <si>
    <t>Begründung</t>
  </si>
  <si>
    <t>Lenkung/Förderung</t>
  </si>
  <si>
    <t>WERDE-ID (1)</t>
  </si>
  <si>
    <t>WERDE-ID (2)</t>
  </si>
  <si>
    <t>WERDE-ID (3)</t>
  </si>
  <si>
    <t>WERDE-ID (4)</t>
  </si>
  <si>
    <t>WERDE-ID (5)</t>
  </si>
  <si>
    <t>Vor-/ Name </t>
  </si>
  <si>
    <t>Strasse, Nr. </t>
  </si>
  <si>
    <r>
      <t>​​Buchhaltungsbeleg Förderprogramm «Jungwaldpflege</t>
    </r>
    <r>
      <rPr>
        <vertAlign val="superscript"/>
        <sz val="16"/>
        <rFont val="Arial"/>
        <family val="2"/>
      </rPr>
      <t>+</t>
    </r>
    <r>
      <rPr>
        <sz val="16"/>
        <rFont val="Arial"/>
        <family val="2"/>
      </rPr>
      <t>»</t>
    </r>
  </si>
  <si>
    <t>Ergänzung</t>
  </si>
  <si>
    <t>ID</t>
  </si>
  <si>
    <t>Ergänzung Fläche 1</t>
  </si>
  <si>
    <t>Ergänzung Fläche 2</t>
  </si>
  <si>
    <t>Ergänzung Fläche 3</t>
  </si>
  <si>
    <t>Staatsbeitrag</t>
  </si>
  <si>
    <t>Bundesbeitrag</t>
  </si>
  <si>
    <t>Revier</t>
  </si>
  <si>
    <t>Ammann</t>
  </si>
  <si>
    <t>Andreas</t>
  </si>
  <si>
    <t>Aeberli</t>
  </si>
  <si>
    <t>Christoph</t>
  </si>
  <si>
    <t>Bagnoud</t>
  </si>
  <si>
    <t>Joran</t>
  </si>
  <si>
    <t>Biermann</t>
  </si>
  <si>
    <t>Stefan</t>
  </si>
  <si>
    <t>Blaser</t>
  </si>
  <si>
    <t>Joël</t>
  </si>
  <si>
    <t>Bochud</t>
  </si>
  <si>
    <t>Pascal</t>
  </si>
  <si>
    <t>Breton</t>
  </si>
  <si>
    <t>Benoît</t>
  </si>
  <si>
    <t>Bueche</t>
  </si>
  <si>
    <t>Roman</t>
  </si>
  <si>
    <t>Bütschi</t>
  </si>
  <si>
    <t>Daniel</t>
  </si>
  <si>
    <t>Christen</t>
  </si>
  <si>
    <t>Fritz</t>
  </si>
  <si>
    <t>Cortat</t>
  </si>
  <si>
    <t>Adrien</t>
  </si>
  <si>
    <t>Dober</t>
  </si>
  <si>
    <t>Alois</t>
  </si>
  <si>
    <t>Domont</t>
  </si>
  <si>
    <t>Claude</t>
  </si>
  <si>
    <t>Dummermuth</t>
  </si>
  <si>
    <t>Rolf</t>
  </si>
  <si>
    <t>Dürig</t>
  </si>
  <si>
    <t>Simon</t>
  </si>
  <si>
    <t>Etter</t>
  </si>
  <si>
    <t>Marco</t>
  </si>
  <si>
    <t>Eugster</t>
  </si>
  <si>
    <t>Hansueli</t>
  </si>
  <si>
    <t>Friedli</t>
  </si>
  <si>
    <t>Jean-Marc</t>
  </si>
  <si>
    <t>Frutschi</t>
  </si>
  <si>
    <t>René</t>
  </si>
  <si>
    <t>Gagstätter</t>
  </si>
  <si>
    <t>Simon Patrik</t>
  </si>
  <si>
    <t>Galli</t>
  </si>
  <si>
    <t>Alessia</t>
  </si>
  <si>
    <t>Geissbühler</t>
  </si>
  <si>
    <t>Tim</t>
  </si>
  <si>
    <t>Gerber</t>
  </si>
  <si>
    <t>Christian</t>
  </si>
  <si>
    <t>Gertsch</t>
  </si>
  <si>
    <t>Mattia</t>
  </si>
  <si>
    <t>Gigon</t>
  </si>
  <si>
    <t>Silas</t>
  </si>
  <si>
    <t>Greusing</t>
  </si>
  <si>
    <t>Nicolas</t>
  </si>
  <si>
    <t>Grossmann</t>
  </si>
  <si>
    <t>Grubenmann</t>
  </si>
  <si>
    <t>Vera</t>
  </si>
  <si>
    <t>Guggisberg</t>
  </si>
  <si>
    <t>Gut</t>
  </si>
  <si>
    <t>Thomas</t>
  </si>
  <si>
    <t>Habegger</t>
  </si>
  <si>
    <t>Hansjörg</t>
  </si>
  <si>
    <t>Haider</t>
  </si>
  <si>
    <t>Martin</t>
  </si>
  <si>
    <t>Haymoz</t>
  </si>
  <si>
    <t>Yves</t>
  </si>
  <si>
    <t>Heuberger</t>
  </si>
  <si>
    <t>Jonas</t>
  </si>
  <si>
    <t>Hitz</t>
  </si>
  <si>
    <t>Konstantin</t>
  </si>
  <si>
    <t>Hochhuth</t>
  </si>
  <si>
    <t>Nathanael</t>
  </si>
  <si>
    <t>Hofer</t>
  </si>
  <si>
    <t>Beat</t>
  </si>
  <si>
    <t>Jaussi</t>
  </si>
  <si>
    <t>André</t>
  </si>
  <si>
    <t>Jenny</t>
  </si>
  <si>
    <t>Keller</t>
  </si>
  <si>
    <t>Fredy</t>
  </si>
  <si>
    <t>Kislig</t>
  </si>
  <si>
    <t>Florian</t>
  </si>
  <si>
    <t>Krähenbühl</t>
  </si>
  <si>
    <t>Mario</t>
  </si>
  <si>
    <t>Lauper</t>
  </si>
  <si>
    <t>Lempen</t>
  </si>
  <si>
    <t>Werner</t>
  </si>
  <si>
    <t>Locatelli</t>
  </si>
  <si>
    <t>Gloria</t>
  </si>
  <si>
    <t>Locher</t>
  </si>
  <si>
    <t>Cédric</t>
  </si>
  <si>
    <t>Luginbühl</t>
  </si>
  <si>
    <t>Hanspeter</t>
  </si>
  <si>
    <t xml:space="preserve">Mahon </t>
  </si>
  <si>
    <t>Marcel</t>
  </si>
  <si>
    <t>Märki</t>
  </si>
  <si>
    <t>Flora</t>
  </si>
  <si>
    <t>Melcher</t>
  </si>
  <si>
    <t>Reto</t>
  </si>
  <si>
    <t>Mottet</t>
  </si>
  <si>
    <t>Philippe</t>
  </si>
  <si>
    <t>Moser</t>
  </si>
  <si>
    <t>Markus</t>
  </si>
  <si>
    <t>Muheim</t>
  </si>
  <si>
    <t>Luis</t>
  </si>
  <si>
    <t>Müller</t>
  </si>
  <si>
    <t>Dieter</t>
  </si>
  <si>
    <t>Näpflin</t>
  </si>
  <si>
    <t>Timm</t>
  </si>
  <si>
    <t>Noirjean</t>
  </si>
  <si>
    <t>J.-Charles</t>
  </si>
  <si>
    <t>Oppliger</t>
  </si>
  <si>
    <t>Toni</t>
  </si>
  <si>
    <t>Pauli</t>
  </si>
  <si>
    <t>Kyra</t>
  </si>
  <si>
    <t>Pedrelli</t>
  </si>
  <si>
    <t>Livio</t>
  </si>
  <si>
    <t>Peluso</t>
  </si>
  <si>
    <t>Michael</t>
  </si>
  <si>
    <t>Perren</t>
  </si>
  <si>
    <t>Roland</t>
  </si>
  <si>
    <t>Rathgeb</t>
  </si>
  <si>
    <t>Reber</t>
  </si>
  <si>
    <t>Rieben</t>
  </si>
  <si>
    <t>Rüfenacht</t>
  </si>
  <si>
    <t>Salzmann</t>
  </si>
  <si>
    <t>Schenk</t>
  </si>
  <si>
    <t>Scheuner</t>
  </si>
  <si>
    <t>Hans Rudolf</t>
  </si>
  <si>
    <t>Schnee-</t>
  </si>
  <si>
    <t>berger</t>
  </si>
  <si>
    <t>Marc</t>
  </si>
  <si>
    <t>Schneider</t>
  </si>
  <si>
    <t xml:space="preserve">Schweizer </t>
  </si>
  <si>
    <t>Schweizer</t>
  </si>
  <si>
    <t>Rudolf</t>
  </si>
  <si>
    <t>Spahr</t>
  </si>
  <si>
    <t>Andrea</t>
  </si>
  <si>
    <t>Steffen</t>
  </si>
  <si>
    <t>Hans</t>
  </si>
  <si>
    <t>Thurnherr</t>
  </si>
  <si>
    <t>Treichler</t>
  </si>
  <si>
    <t>Fabien</t>
  </si>
  <si>
    <t>Waeber</t>
  </si>
  <si>
    <t>Walther</t>
  </si>
  <si>
    <t>Weber</t>
  </si>
  <si>
    <t>Björn</t>
  </si>
  <si>
    <t>Wegmüller</t>
  </si>
  <si>
    <t>Dario</t>
  </si>
  <si>
    <t>Weindler</t>
  </si>
  <si>
    <t>Stefanie</t>
  </si>
  <si>
    <t>Wenger</t>
  </si>
  <si>
    <t>Werlen</t>
  </si>
  <si>
    <t>Hermann</t>
  </si>
  <si>
    <t>Werren</t>
  </si>
  <si>
    <t>Wyttenbach</t>
  </si>
  <si>
    <t>Quirinus</t>
  </si>
  <si>
    <t>Zumbrunn</t>
  </si>
  <si>
    <t>Christina</t>
  </si>
  <si>
    <t>Zurbuchen</t>
  </si>
  <si>
    <t>Zwahlen</t>
  </si>
  <si>
    <t>WAA Ost Wald-Wild Förderung WW</t>
  </si>
  <si>
    <t>WAA West Wald-Wild Förderung WW</t>
  </si>
  <si>
    <t>WAV Ost Wald-Wild Förderung WW</t>
  </si>
  <si>
    <t>WAV West Wald-Wild Förderung WW</t>
  </si>
  <si>
    <t>WAM Ost Wald-Wild Förderung WW</t>
  </si>
  <si>
    <t>WAM Mitte Wald-Wild Förderung WW</t>
  </si>
  <si>
    <t>WAM West Wald-Wild Förderung WW</t>
  </si>
  <si>
    <t>WABJ Wald-Wild Förderung WW</t>
  </si>
  <si>
    <t>1011 Boltigen</t>
  </si>
  <si>
    <t>1012 Zweisimmen</t>
  </si>
  <si>
    <t>1050 Forst Haslital</t>
  </si>
  <si>
    <t>1051 Brünig Ost</t>
  </si>
  <si>
    <t>1052 Brienz</t>
  </si>
  <si>
    <t>1054 Bödeli plus</t>
  </si>
  <si>
    <t>1055 Lütschinentäler</t>
  </si>
  <si>
    <t>1057 Thunersee Süd</t>
  </si>
  <si>
    <t>1059 Diemtigtal</t>
  </si>
  <si>
    <t>1060 Lenk - St. Stephan</t>
  </si>
  <si>
    <t>1061 Saanenland</t>
  </si>
  <si>
    <t>1062 Kander- und Engstligental</t>
  </si>
  <si>
    <t>1063 Beatenberg - Habkern</t>
  </si>
  <si>
    <t>1064 Grindelwald</t>
  </si>
  <si>
    <t>2005 Signau</t>
  </si>
  <si>
    <t>2009 Langnau</t>
  </si>
  <si>
    <t>2010 Trub</t>
  </si>
  <si>
    <t>2011 Eggiwil</t>
  </si>
  <si>
    <t>2050 Thun-Steffisburg-Zulgtal</t>
  </si>
  <si>
    <t>2052 Sigriswil - Stockental</t>
  </si>
  <si>
    <t>2053 Belpberg</t>
  </si>
  <si>
    <t>2055 Oberes Gürbetal</t>
  </si>
  <si>
    <t>2059 Gantrisch</t>
  </si>
  <si>
    <t>2060 Köniz - Längenberg</t>
  </si>
  <si>
    <t>2061 Kiesen- und Aaretal</t>
  </si>
  <si>
    <t>2080 Sumiswald-Lützelflüh</t>
  </si>
  <si>
    <t>3002 Aarberg-Jegenstorf</t>
  </si>
  <si>
    <t>3004 Fraubrunnen</t>
  </si>
  <si>
    <t>3006 Burgdorf Süd</t>
  </si>
  <si>
    <t>3007 Wynigen</t>
  </si>
  <si>
    <t>3050 Amt Erlach</t>
  </si>
  <si>
    <t>3051 Tubeloch</t>
  </si>
  <si>
    <t>3052 Unteres Seeland</t>
  </si>
  <si>
    <t>3055 Region Büren</t>
  </si>
  <si>
    <t>3056 Lyss</t>
  </si>
  <si>
    <t>3058 BG Bern</t>
  </si>
  <si>
    <t>3059 Burgdorf</t>
  </si>
  <si>
    <t>3060 Bipperamt</t>
  </si>
  <si>
    <t>3063 Herzogenbuchsee</t>
  </si>
  <si>
    <t>3064 Oberaargau Ost</t>
  </si>
  <si>
    <t>3065 Unteres Langetental</t>
  </si>
  <si>
    <t>3066 Huttwil</t>
  </si>
  <si>
    <t>3067 Bern - Worblental</t>
  </si>
  <si>
    <t>3080 Oberes Langetental</t>
  </si>
  <si>
    <t>3081 Frienisberg</t>
  </si>
  <si>
    <t>4001 Haut-Vallon</t>
  </si>
  <si>
    <t>4002 Baroche - Péry - La Neuveville</t>
  </si>
  <si>
    <t>4051 Saint-Imier</t>
  </si>
  <si>
    <t>4052 Centre-Vallon</t>
  </si>
  <si>
    <t>4053 Tournedos</t>
  </si>
  <si>
    <t>4055 Moron</t>
  </si>
  <si>
    <t>4056 Court - Sorvilier</t>
  </si>
  <si>
    <t>4059 Raimeux et environs</t>
  </si>
  <si>
    <t>4061 Mont Sujet - Nods</t>
  </si>
  <si>
    <t>4063 ValForêt</t>
  </si>
  <si>
    <t>5091 SFB Alpen</t>
  </si>
  <si>
    <t>5092 SFB Voralpen</t>
  </si>
  <si>
    <t>5093 SFB Mittelland</t>
  </si>
  <si>
    <t>5094 EFD Jura bernois</t>
  </si>
  <si>
    <t>Fläche</t>
  </si>
  <si>
    <t>ohne</t>
  </si>
  <si>
    <t>mit</t>
  </si>
  <si>
    <t>Lenk</t>
  </si>
  <si>
    <t>Förd</t>
  </si>
  <si>
    <t>Wald-Wild</t>
  </si>
  <si>
    <t>Kanton</t>
  </si>
  <si>
    <t>Summe Staatsbeitrag</t>
  </si>
  <si>
    <t>Kanton Jungwaldpflege</t>
  </si>
  <si>
    <t>Kanton Wald-Wild</t>
  </si>
  <si>
    <t>4300A-519004.E.002</t>
  </si>
  <si>
    <t>4300A-519004.E.001</t>
  </si>
  <si>
    <t>4300A-519004.E.003</t>
  </si>
  <si>
    <t>4300A-519004.E.004</t>
  </si>
  <si>
    <t>4300A-519004.E.005</t>
  </si>
  <si>
    <t>4300A-519004.E.006</t>
  </si>
  <si>
    <t>4300A-519004.E.007</t>
  </si>
  <si>
    <t>4300A-519004.E.008</t>
  </si>
  <si>
    <t>WERDE1</t>
  </si>
  <si>
    <t>WERDE2</t>
  </si>
  <si>
    <t>WERDE3</t>
  </si>
  <si>
    <t>WERDE4</t>
  </si>
  <si>
    <t>WERDE5</t>
  </si>
  <si>
    <t>Falls du auf deiner Fläche die Massnahmengruppe «Begründung» genutzt hast, gib bitte an, welche und wie viele Wildschadenverhütungsmittel du eingesetzt hast.</t>
  </si>
  <si>
    <t>Wirtschafts-, Energie- und Umweltdirektion</t>
  </si>
  <si>
    <t>Amt für Wald und Naturgefahren</t>
  </si>
  <si>
    <r>
      <t>Auszahlungsinformation Förderprogramm «Jungwaldpflege</t>
    </r>
    <r>
      <rPr>
        <b/>
        <vertAlign val="superscript"/>
        <sz val="10.5"/>
        <color theme="1"/>
        <rFont val="Arial"/>
        <family val="2"/>
        <scheme val="minor"/>
      </rPr>
      <t>+</t>
    </r>
    <r>
      <rPr>
        <b/>
        <sz val="10.5"/>
        <color theme="1"/>
        <rFont val="Arial"/>
        <family val="2"/>
      </rPr>
      <t>»</t>
    </r>
  </si>
  <si>
    <t>Guten Tag</t>
  </si>
  <si>
    <t>Freundliche Grüsse</t>
  </si>
  <si>
    <t>E-Mail</t>
  </si>
  <si>
    <t>Strasse/Nr</t>
  </si>
  <si>
    <t>Tel. WA</t>
  </si>
  <si>
    <t>Mail WA</t>
  </si>
  <si>
    <t>Vorname</t>
  </si>
  <si>
    <t>Name</t>
  </si>
  <si>
    <t>Tel. MA</t>
  </si>
  <si>
    <t>Mail. MA</t>
  </si>
  <si>
    <t>Girod</t>
  </si>
  <si>
    <t>Anschrift</t>
  </si>
  <si>
    <t>Funktion</t>
  </si>
  <si>
    <t>Regionenverantwortlicher</t>
  </si>
  <si>
    <t>Regionenverantwortliche</t>
  </si>
  <si>
    <t>Der Betrag beinhaltet die Beiträge der folgenden WERDE oder Projekt-ID:</t>
  </si>
  <si>
    <t>Micha</t>
  </si>
  <si>
    <t>Isabel</t>
  </si>
  <si>
    <t>Silvio</t>
  </si>
  <si>
    <t>Lucien</t>
  </si>
  <si>
    <t>Tauffer</t>
  </si>
  <si>
    <t xml:space="preserve">Martin </t>
  </si>
  <si>
    <t>Städeli</t>
  </si>
  <si>
    <t>Küng</t>
  </si>
  <si>
    <t>Meyer</t>
  </si>
  <si>
    <t>Ballmer</t>
  </si>
  <si>
    <t>Schmid</t>
  </si>
  <si>
    <t>Schlossgasse 6</t>
  </si>
  <si>
    <t>3752 Wimmis</t>
  </si>
  <si>
    <t>Schwand 2</t>
  </si>
  <si>
    <t>3110 Münsingen</t>
  </si>
  <si>
    <t>Molkereistrasse 25</t>
  </si>
  <si>
    <t>3052 Zollikofen</t>
  </si>
  <si>
    <t>+41 31 636 12 80</t>
  </si>
  <si>
    <t>foret.jurabernois@be.ch</t>
  </si>
  <si>
    <t>Pierre-Pertuis 7</t>
  </si>
  <si>
    <t>2710 Tavannes</t>
  </si>
  <si>
    <t>+41 31 636 12 40</t>
  </si>
  <si>
    <t>wald.alpen@be.ch</t>
  </si>
  <si>
    <t>+41 31 636 12 70</t>
  </si>
  <si>
    <t>wald.mittelland@be.ch</t>
  </si>
  <si>
    <t>+41 31 636 04 50</t>
  </si>
  <si>
    <t>wald.voralpen@be.ch</t>
  </si>
  <si>
    <t>+41 31 636 76 38</t>
  </si>
  <si>
    <t>+41 31 636 31 48</t>
  </si>
  <si>
    <t>+41 31 633 46 20</t>
  </si>
  <si>
    <t>+41 31 636 12 33</t>
  </si>
  <si>
    <t>+41 31 636 77 10</t>
  </si>
  <si>
    <t>+41 31 635 54 62</t>
  </si>
  <si>
    <t>+41 31 636 12 75</t>
  </si>
  <si>
    <t>+41 31 636 67 30</t>
  </si>
  <si>
    <t>www.be.ch/wald</t>
  </si>
  <si>
    <t>Bei den ausbezahlten Beiträgen handelt es sich um Subventionen gemäss Art. 18 Abs. 3 MWSTG.</t>
  </si>
  <si>
    <t>Gerne teilen wir Ihnen mit, dass Ihr Beitragsgesuch freigegeben wurde. Der bewilligte Betrag</t>
  </si>
  <si>
    <t>Bei Fragen steht Ihnen die Waldabteilung zur Verfügung.</t>
  </si>
  <si>
    <t>Bitte fülle die grau hinterlegen Felder aus und schick das Excel anschliessend an den/die zuständige/n Regionenverantwortliche/n.</t>
  </si>
  <si>
    <t xml:space="preserve">Bitte bewahren Sie sämtliche Abrechnungsgrundlagen (WERDE) und Belege nach Abschluss des Projekts </t>
  </si>
  <si>
    <t xml:space="preserve">während 10 Jahren auf. Die Unterlagen sind für allfällige Kontrollen durch die Subventionsbehörden </t>
  </si>
  <si>
    <t>bereitzuhalten.</t>
  </si>
  <si>
    <t>Maeder</t>
  </si>
  <si>
    <t>Hochuli</t>
  </si>
  <si>
    <t>Beiträge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</si>
</sst>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  <numFmt numFmtId="168" formatCode="_ [$CHF-807]\ * #,##0.00_ ;_ [$CHF-807]\ * \-#,##0.00_ ;_ [$CHF-807]\ * &quot;-&quot;??_ ;_ @_ "/>
    <numFmt numFmtId="169" formatCode="&quot;CHF&quot;\ #,##0.00"/>
  </numFmts>
  <fonts count="42" x14ac:knownFonts="1">
    <font>
      <sz val="11"/>
      <color theme="1"/>
      <name val="Arial"/>
      <family val="2"/>
      <scheme val="minor"/>
    </font>
    <font>
      <sz val="10.5"/>
      <color theme="1"/>
      <name val="Arial"/>
      <family val="2"/>
    </font>
    <font>
      <sz val="18"/>
      <color theme="3"/>
      <name val="Arial"/>
      <family val="2"/>
      <scheme val="major"/>
    </font>
    <font>
      <sz val="10.5"/>
      <color theme="1"/>
      <name val="Arial"/>
      <family val="2"/>
      <scheme val="minor"/>
    </font>
    <font>
      <b/>
      <sz val="10.5"/>
      <color rgb="FF3F3F3F"/>
      <name val="Arial"/>
      <family val="2"/>
      <scheme val="major"/>
    </font>
    <font>
      <i/>
      <sz val="10.5"/>
      <color rgb="FF7F7F7F"/>
      <name val="Arial"/>
      <family val="2"/>
      <scheme val="minor"/>
    </font>
    <font>
      <sz val="10.5"/>
      <color rgb="FFFA7D00"/>
      <name val="Arial"/>
      <family val="2"/>
      <scheme val="minor"/>
    </font>
    <font>
      <sz val="10.5"/>
      <color rgb="FFFF0000"/>
      <name val="Arial"/>
      <family val="2"/>
      <scheme val="minor"/>
    </font>
    <font>
      <b/>
      <sz val="10.5"/>
      <color theme="0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5"/>
      <color theme="1"/>
      <name val="Arial"/>
      <family val="2"/>
      <scheme val="major"/>
    </font>
    <font>
      <b/>
      <sz val="13"/>
      <name val="Arial"/>
      <family val="2"/>
      <scheme val="major"/>
    </font>
    <font>
      <b/>
      <sz val="11"/>
      <name val="Arial"/>
      <family val="3"/>
      <scheme val="major"/>
    </font>
    <font>
      <sz val="10.5"/>
      <color theme="0"/>
      <name val="Arial"/>
      <family val="2"/>
      <scheme val="minor"/>
    </font>
    <font>
      <u/>
      <sz val="10.5"/>
      <color theme="1"/>
      <name val="Arial"/>
      <family val="2"/>
      <scheme val="minor"/>
    </font>
    <font>
      <sz val="10.5"/>
      <color theme="6" tint="-0.24994659260841701"/>
      <name val="Arial"/>
      <family val="2"/>
      <scheme val="minor"/>
    </font>
    <font>
      <sz val="10.5"/>
      <color theme="8"/>
      <name val="Arial"/>
      <family val="2"/>
      <scheme val="minor"/>
    </font>
    <font>
      <sz val="10.5"/>
      <color theme="9"/>
      <name val="Arial"/>
      <family val="2"/>
      <scheme val="minor"/>
    </font>
    <font>
      <b/>
      <sz val="10.5"/>
      <color theme="8"/>
      <name val="Arial"/>
      <family val="2"/>
      <scheme val="major"/>
    </font>
    <font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vertAlign val="superscript"/>
      <sz val="16"/>
      <color theme="1"/>
      <name val="Arial"/>
      <family val="2"/>
      <scheme val="minor"/>
    </font>
    <font>
      <sz val="10.5"/>
      <name val="Arial"/>
      <family val="2"/>
    </font>
    <font>
      <i/>
      <sz val="10.5"/>
      <name val="Arial"/>
      <family val="2"/>
    </font>
    <font>
      <b/>
      <sz val="10.5"/>
      <name val="Arial"/>
      <family val="2"/>
    </font>
    <font>
      <sz val="6.5"/>
      <name val="Arial"/>
      <family val="2"/>
    </font>
    <font>
      <sz val="11"/>
      <name val="Arial"/>
      <family val="2"/>
      <scheme val="minor"/>
    </font>
    <font>
      <i/>
      <sz val="10.5"/>
      <color theme="1"/>
      <name val="Arial"/>
      <family val="2"/>
      <scheme val="minor"/>
    </font>
    <font>
      <sz val="16"/>
      <name val="Arial"/>
      <family val="2"/>
    </font>
    <font>
      <vertAlign val="superscript"/>
      <sz val="16"/>
      <name val="Arial"/>
      <family val="2"/>
    </font>
    <font>
      <sz val="8"/>
      <color rgb="FF000000"/>
      <name val="Segoe UI"/>
      <family val="2"/>
    </font>
    <font>
      <b/>
      <sz val="10.5"/>
      <color theme="9"/>
      <name val="Arial"/>
      <family val="2"/>
      <scheme val="minor"/>
    </font>
    <font>
      <sz val="8"/>
      <name val="Arial"/>
      <family val="2"/>
      <scheme val="minor"/>
    </font>
    <font>
      <sz val="8.5"/>
      <color theme="1"/>
      <name val="Arial"/>
      <family val="2"/>
      <scheme val="minor"/>
    </font>
    <font>
      <sz val="6.5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vertAlign val="superscript"/>
      <sz val="10.5"/>
      <color theme="1"/>
      <name val="Arial"/>
      <family val="2"/>
      <scheme val="minor"/>
    </font>
    <font>
      <b/>
      <sz val="10.5"/>
      <color theme="1"/>
      <name val="Arial"/>
      <family val="2"/>
    </font>
    <font>
      <b/>
      <sz val="11"/>
      <color theme="0"/>
      <name val="Arial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9">
    <xf numFmtId="0" fontId="0" fillId="0" borderId="0"/>
    <xf numFmtId="165" fontId="1" fillId="0" borderId="0" applyFont="0" applyFill="0" applyBorder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5" fillId="29" borderId="0" applyNumberFormat="0" applyBorder="0" applyAlignment="0" applyProtection="0"/>
    <xf numFmtId="0" fontId="17" fillId="31" borderId="0" applyNumberFormat="0" applyBorder="0" applyAlignment="0" applyProtection="0"/>
    <xf numFmtId="0" fontId="16" fillId="30" borderId="0" applyNumberFormat="0" applyBorder="0" applyAlignment="0" applyProtection="0"/>
    <xf numFmtId="0" fontId="3" fillId="32" borderId="1" applyNumberFormat="0" applyAlignment="0" applyProtection="0"/>
    <xf numFmtId="0" fontId="4" fillId="2" borderId="2" applyNumberFormat="0" applyAlignment="0" applyProtection="0"/>
    <xf numFmtId="0" fontId="18" fillId="2" borderId="1" applyNumberFormat="0" applyAlignment="0" applyProtection="0"/>
    <xf numFmtId="0" fontId="6" fillId="0" borderId="3" applyNumberFormat="0" applyFill="0" applyAlignment="0" applyProtection="0"/>
    <xf numFmtId="0" fontId="8" fillId="3" borderId="4" applyNumberFormat="0" applyAlignment="0" applyProtection="0"/>
    <xf numFmtId="0" fontId="7" fillId="0" borderId="0" applyNumberFormat="0" applyFill="0" applyBorder="0" applyAlignment="0" applyProtection="0"/>
    <xf numFmtId="0" fontId="3" fillId="28" borderId="5" applyNumberFormat="0" applyAlignment="0" applyProtection="0"/>
    <xf numFmtId="0" fontId="5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3" fillId="27" borderId="0" applyNumberFormat="0" applyBorder="0" applyAlignment="0" applyProtection="0"/>
    <xf numFmtId="4" fontId="3" fillId="0" borderId="0" applyFont="0" applyFill="0" applyBorder="0" applyProtection="0"/>
    <xf numFmtId="9" fontId="19" fillId="0" borderId="0" applyFont="0" applyFill="0" applyBorder="0" applyAlignment="0" applyProtection="0"/>
  </cellStyleXfs>
  <cellXfs count="93">
    <xf numFmtId="0" fontId="0" fillId="0" borderId="0" xfId="0"/>
    <xf numFmtId="0" fontId="21" fillId="0" borderId="0" xfId="0" applyFont="1"/>
    <xf numFmtId="0" fontId="22" fillId="0" borderId="0" xfId="0" applyFont="1"/>
    <xf numFmtId="0" fontId="24" fillId="35" borderId="9" xfId="0" applyFont="1" applyFill="1" applyBorder="1" applyAlignment="1">
      <alignment horizontal="left" vertical="center" wrapText="1"/>
    </xf>
    <xf numFmtId="0" fontId="24" fillId="35" borderId="7" xfId="0" applyFont="1" applyFill="1" applyBorder="1" applyAlignment="1">
      <alignment vertical="center"/>
    </xf>
    <xf numFmtId="0" fontId="24" fillId="35" borderId="8" xfId="0" applyFont="1" applyFill="1" applyBorder="1" applyAlignment="1">
      <alignment vertical="center"/>
    </xf>
    <xf numFmtId="0" fontId="24" fillId="35" borderId="9" xfId="0" applyFont="1" applyFill="1" applyBorder="1" applyAlignment="1">
      <alignment vertical="center"/>
    </xf>
    <xf numFmtId="0" fontId="24" fillId="35" borderId="0" xfId="0" applyFont="1" applyFill="1" applyAlignment="1">
      <alignment vertical="center"/>
    </xf>
    <xf numFmtId="0" fontId="25" fillId="35" borderId="0" xfId="0" applyFont="1" applyFill="1" applyAlignment="1">
      <alignment vertical="center"/>
    </xf>
    <xf numFmtId="0" fontId="25" fillId="35" borderId="11" xfId="0" applyFont="1" applyFill="1" applyBorder="1" applyAlignment="1">
      <alignment vertical="center" wrapText="1"/>
    </xf>
    <xf numFmtId="0" fontId="24" fillId="35" borderId="12" xfId="0" applyFont="1" applyFill="1" applyBorder="1" applyAlignment="1">
      <alignment horizontal="left" vertical="center" wrapText="1"/>
    </xf>
    <xf numFmtId="0" fontId="24" fillId="35" borderId="13" xfId="0" applyFont="1" applyFill="1" applyBorder="1" applyAlignment="1">
      <alignment horizontal="left" vertical="center" wrapText="1"/>
    </xf>
    <xf numFmtId="0" fontId="28" fillId="0" borderId="0" xfId="10" applyFont="1" applyFill="1"/>
    <xf numFmtId="0" fontId="28" fillId="0" borderId="0" xfId="0" applyFont="1"/>
    <xf numFmtId="0" fontId="24" fillId="35" borderId="0" xfId="0" applyFont="1" applyFill="1" applyAlignment="1">
      <alignment vertical="center" wrapText="1"/>
    </xf>
    <xf numFmtId="0" fontId="24" fillId="35" borderId="13" xfId="0" applyFont="1" applyFill="1" applyBorder="1" applyAlignment="1">
      <alignment vertical="center" wrapText="1"/>
    </xf>
    <xf numFmtId="0" fontId="24" fillId="35" borderId="9" xfId="0" applyFont="1" applyFill="1" applyBorder="1" applyAlignment="1">
      <alignment vertical="center" wrapText="1"/>
    </xf>
    <xf numFmtId="14" fontId="24" fillId="35" borderId="13" xfId="0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8" fontId="9" fillId="34" borderId="0" xfId="0" applyNumberFormat="1" applyFont="1" applyFill="1"/>
    <xf numFmtId="0" fontId="9" fillId="34" borderId="0" xfId="0" applyFont="1" applyFill="1"/>
    <xf numFmtId="0" fontId="9" fillId="0" borderId="0" xfId="0" applyFont="1"/>
    <xf numFmtId="0" fontId="29" fillId="0" borderId="0" xfId="0" applyFont="1" applyAlignment="1">
      <alignment vertical="top"/>
    </xf>
    <xf numFmtId="168" fontId="3" fillId="0" borderId="0" xfId="0" applyNumberFormat="1" applyFont="1"/>
    <xf numFmtId="168" fontId="9" fillId="0" borderId="0" xfId="0" applyNumberFormat="1" applyFont="1"/>
    <xf numFmtId="0" fontId="3" fillId="38" borderId="0" xfId="0" applyFont="1" applyFill="1"/>
    <xf numFmtId="0" fontId="30" fillId="0" borderId="0" xfId="0" applyFont="1" applyAlignment="1">
      <alignment horizontal="left" vertical="center"/>
    </xf>
    <xf numFmtId="168" fontId="3" fillId="34" borderId="0" xfId="0" applyNumberFormat="1" applyFont="1" applyFill="1"/>
    <xf numFmtId="2" fontId="3" fillId="37" borderId="0" xfId="0" applyNumberFormat="1" applyFont="1" applyFill="1"/>
    <xf numFmtId="2" fontId="0" fillId="0" borderId="0" xfId="0" applyNumberFormat="1"/>
    <xf numFmtId="169" fontId="24" fillId="35" borderId="13" xfId="0" applyNumberFormat="1" applyFont="1" applyFill="1" applyBorder="1" applyAlignment="1">
      <alignment horizontal="left" vertical="center" wrapText="1"/>
    </xf>
    <xf numFmtId="0" fontId="24" fillId="35" borderId="11" xfId="0" applyFont="1" applyFill="1" applyBorder="1" applyAlignment="1">
      <alignment vertical="center" wrapText="1"/>
    </xf>
    <xf numFmtId="169" fontId="24" fillId="35" borderId="14" xfId="0" applyNumberFormat="1" applyFont="1" applyFill="1" applyBorder="1" applyAlignment="1">
      <alignment horizontal="left" vertical="center" wrapText="1"/>
    </xf>
    <xf numFmtId="0" fontId="33" fillId="34" borderId="0" xfId="0" applyFont="1" applyFill="1" applyAlignment="1">
      <alignment horizontal="right"/>
    </xf>
    <xf numFmtId="0" fontId="3" fillId="33" borderId="0" xfId="0" applyFont="1" applyFill="1" applyProtection="1">
      <protection locked="0"/>
    </xf>
    <xf numFmtId="9" fontId="3" fillId="33" borderId="0" xfId="48" applyFont="1" applyFill="1" applyProtection="1">
      <protection locked="0"/>
    </xf>
    <xf numFmtId="2" fontId="3" fillId="33" borderId="0" xfId="0" applyNumberFormat="1" applyFont="1" applyFill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3" fillId="33" borderId="0" xfId="0" applyFont="1" applyFill="1" applyAlignment="1" applyProtection="1">
      <alignment horizontal="right"/>
      <protection locked="0"/>
    </xf>
    <xf numFmtId="2" fontId="3" fillId="33" borderId="0" xfId="0" applyNumberFormat="1" applyFont="1" applyFill="1" applyAlignment="1" applyProtection="1">
      <alignment wrapText="1"/>
      <protection locked="0"/>
    </xf>
    <xf numFmtId="0" fontId="13" fillId="0" borderId="0" xfId="0" applyFont="1" applyProtection="1">
      <protection locked="0"/>
    </xf>
    <xf numFmtId="1" fontId="3" fillId="33" borderId="0" xfId="0" applyNumberFormat="1" applyFont="1" applyFill="1" applyAlignment="1" applyProtection="1">
      <alignment horizontal="left"/>
      <protection locked="0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14" fontId="35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22" applyAlignment="1">
      <alignment vertical="center"/>
    </xf>
    <xf numFmtId="0" fontId="3" fillId="0" borderId="0" xfId="0" applyFont="1" applyAlignment="1">
      <alignment vertical="center" wrapText="1"/>
    </xf>
    <xf numFmtId="168" fontId="13" fillId="0" borderId="0" xfId="0" applyNumberFormat="1" applyFont="1"/>
    <xf numFmtId="0" fontId="3" fillId="0" borderId="0" xfId="0" applyFont="1" applyAlignment="1">
      <alignment horizontal="left"/>
    </xf>
    <xf numFmtId="0" fontId="29" fillId="33" borderId="0" xfId="0" applyFont="1" applyFill="1" applyAlignment="1">
      <alignment horizontal="left" wrapText="1"/>
    </xf>
    <xf numFmtId="0" fontId="29" fillId="33" borderId="0" xfId="0" applyFont="1" applyFill="1" applyAlignment="1">
      <alignment horizontal="left" vertical="top" wrapText="1"/>
    </xf>
    <xf numFmtId="0" fontId="13" fillId="36" borderId="0" xfId="0" applyFont="1" applyFill="1" applyAlignment="1">
      <alignment horizontal="left"/>
    </xf>
    <xf numFmtId="0" fontId="24" fillId="35" borderId="9" xfId="0" applyFont="1" applyFill="1" applyBorder="1" applyAlignment="1">
      <alignment horizontal="left" vertical="center" wrapText="1"/>
    </xf>
    <xf numFmtId="0" fontId="24" fillId="35" borderId="0" xfId="0" applyFont="1" applyFill="1" applyAlignment="1">
      <alignment horizontal="left" vertical="center" wrapText="1"/>
    </xf>
    <xf numFmtId="0" fontId="24" fillId="35" borderId="13" xfId="0" applyFont="1" applyFill="1" applyBorder="1" applyAlignment="1">
      <alignment horizontal="left" vertical="center" wrapText="1"/>
    </xf>
    <xf numFmtId="0" fontId="26" fillId="35" borderId="9" xfId="0" applyFont="1" applyFill="1" applyBorder="1" applyAlignment="1">
      <alignment horizontal="left" vertical="center" wrapText="1"/>
    </xf>
    <xf numFmtId="0" fontId="26" fillId="35" borderId="0" xfId="0" applyFont="1" applyFill="1" applyAlignment="1">
      <alignment horizontal="left" vertical="center" wrapText="1"/>
    </xf>
    <xf numFmtId="0" fontId="26" fillId="35" borderId="13" xfId="0" applyFont="1" applyFill="1" applyBorder="1" applyAlignment="1">
      <alignment horizontal="left" vertical="center" wrapText="1"/>
    </xf>
    <xf numFmtId="0" fontId="27" fillId="35" borderId="9" xfId="0" applyFont="1" applyFill="1" applyBorder="1" applyAlignment="1">
      <alignment horizontal="left" vertical="center" wrapText="1"/>
    </xf>
    <xf numFmtId="0" fontId="27" fillId="35" borderId="0" xfId="0" applyFont="1" applyFill="1" applyAlignment="1">
      <alignment horizontal="left" vertical="center" wrapText="1"/>
    </xf>
    <xf numFmtId="0" fontId="27" fillId="35" borderId="13" xfId="0" applyFont="1" applyFill="1" applyBorder="1" applyAlignment="1">
      <alignment horizontal="left" vertical="center" wrapText="1"/>
    </xf>
    <xf numFmtId="169" fontId="24" fillId="35" borderId="0" xfId="0" applyNumberFormat="1" applyFont="1" applyFill="1" applyAlignment="1">
      <alignment horizontal="left" vertical="center"/>
    </xf>
    <xf numFmtId="0" fontId="24" fillId="35" borderId="0" xfId="0" applyFont="1" applyFill="1" applyAlignment="1">
      <alignment vertical="center" wrapText="1"/>
    </xf>
    <xf numFmtId="0" fontId="24" fillId="35" borderId="13" xfId="0" applyFont="1" applyFill="1" applyBorder="1" applyAlignment="1">
      <alignment vertical="center" wrapText="1"/>
    </xf>
    <xf numFmtId="0" fontId="24" fillId="35" borderId="9" xfId="0" applyFont="1" applyFill="1" applyBorder="1" applyAlignment="1">
      <alignment horizontal="center" vertical="center"/>
    </xf>
    <xf numFmtId="0" fontId="24" fillId="35" borderId="0" xfId="0" applyFont="1" applyFill="1" applyAlignment="1">
      <alignment horizontal="center" vertical="center"/>
    </xf>
    <xf numFmtId="0" fontId="24" fillId="35" borderId="10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6" fillId="0" borderId="1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/>
    <xf numFmtId="0" fontId="33" fillId="0" borderId="0" xfId="0" applyFont="1" applyFill="1" applyAlignment="1">
      <alignment horizontal="right"/>
    </xf>
    <xf numFmtId="168" fontId="9" fillId="0" borderId="0" xfId="0" applyNumberFormat="1" applyFont="1" applyFill="1"/>
    <xf numFmtId="0" fontId="0" fillId="0" borderId="0" xfId="0" applyFill="1"/>
    <xf numFmtId="0" fontId="41" fillId="36" borderId="0" xfId="0" applyFont="1" applyFill="1"/>
    <xf numFmtId="168" fontId="41" fillId="36" borderId="17" xfId="0" applyNumberFormat="1" applyFont="1" applyFill="1" applyBorder="1"/>
    <xf numFmtId="0" fontId="13" fillId="36" borderId="0" xfId="0" applyFont="1" applyFill="1"/>
    <xf numFmtId="168" fontId="13" fillId="36" borderId="0" xfId="0" applyNumberFormat="1" applyFont="1" applyFill="1"/>
    <xf numFmtId="0" fontId="3" fillId="33" borderId="0" xfId="0" applyNumberFormat="1" applyFont="1" applyFill="1" applyProtection="1">
      <protection locked="0"/>
    </xf>
  </cellXfs>
  <cellStyles count="49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customBuiltin="1"/>
    <cellStyle name="Berechnung" xfId="15" builtinId="22" customBuiltin="1"/>
    <cellStyle name="Dezimal [0]" xfId="2" builtinId="6" customBuiltin="1"/>
    <cellStyle name="Eingabe" xfId="13" builtinId="20" customBuiltin="1"/>
    <cellStyle name="Ergebnis" xfId="21" builtinId="25" customBuiltin="1"/>
    <cellStyle name="Erklärender Text" xfId="20" builtinId="53" hidden="1" customBuiltin="1"/>
    <cellStyle name="Gut" xfId="10" builtinId="26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customBuiltin="1"/>
    <cellStyle name="Notiz" xfId="19" builtinId="10" customBuiltin="1"/>
    <cellStyle name="Prozent" xfId="48" builtinId="5"/>
    <cellStyle name="Schlecht" xfId="11" builtinId="27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lle überprüfen" xfId="17" builtinId="23" hidden="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$C$44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fmlaLink="$C$72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$C$99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fmlaLink="$C$126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$C$153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42</xdr:row>
          <xdr:rowOff>85725</xdr:rowOff>
        </xdr:from>
        <xdr:to>
          <xdr:col>0</xdr:col>
          <xdr:colOff>1343025</xdr:colOff>
          <xdr:row>44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123825</xdr:rowOff>
        </xdr:from>
        <xdr:to>
          <xdr:col>1</xdr:col>
          <xdr:colOff>1257300</xdr:colOff>
          <xdr:row>44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70</xdr:row>
          <xdr:rowOff>85725</xdr:rowOff>
        </xdr:from>
        <xdr:to>
          <xdr:col>0</xdr:col>
          <xdr:colOff>1343025</xdr:colOff>
          <xdr:row>72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70</xdr:row>
          <xdr:rowOff>123825</xdr:rowOff>
        </xdr:from>
        <xdr:to>
          <xdr:col>1</xdr:col>
          <xdr:colOff>1257300</xdr:colOff>
          <xdr:row>72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97</xdr:row>
          <xdr:rowOff>85725</xdr:rowOff>
        </xdr:from>
        <xdr:to>
          <xdr:col>0</xdr:col>
          <xdr:colOff>1343025</xdr:colOff>
          <xdr:row>99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97</xdr:row>
          <xdr:rowOff>123825</xdr:rowOff>
        </xdr:from>
        <xdr:to>
          <xdr:col>1</xdr:col>
          <xdr:colOff>1257300</xdr:colOff>
          <xdr:row>99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124</xdr:row>
          <xdr:rowOff>85725</xdr:rowOff>
        </xdr:from>
        <xdr:to>
          <xdr:col>0</xdr:col>
          <xdr:colOff>1343025</xdr:colOff>
          <xdr:row>126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124</xdr:row>
          <xdr:rowOff>123825</xdr:rowOff>
        </xdr:from>
        <xdr:to>
          <xdr:col>1</xdr:col>
          <xdr:colOff>1257300</xdr:colOff>
          <xdr:row>126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151</xdr:row>
          <xdr:rowOff>85725</xdr:rowOff>
        </xdr:from>
        <xdr:to>
          <xdr:col>0</xdr:col>
          <xdr:colOff>1343025</xdr:colOff>
          <xdr:row>153</xdr:row>
          <xdr:rowOff>114300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151</xdr:row>
          <xdr:rowOff>123825</xdr:rowOff>
        </xdr:from>
        <xdr:to>
          <xdr:col>1</xdr:col>
          <xdr:colOff>1257300</xdr:colOff>
          <xdr:row>153</xdr:row>
          <xdr:rowOff>76200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Kanton Bern">
      <a:dk1>
        <a:sysClr val="windowText" lastClr="000000"/>
      </a:dk1>
      <a:lt1>
        <a:sysClr val="window" lastClr="FFFFFF"/>
      </a:lt1>
      <a:dk2>
        <a:srgbClr val="63737B"/>
      </a:dk2>
      <a:lt2>
        <a:srgbClr val="B1B9BD"/>
      </a:lt2>
      <a:accent1>
        <a:srgbClr val="3C505A"/>
      </a:accent1>
      <a:accent2>
        <a:srgbClr val="96D7F0"/>
      </a:accent2>
      <a:accent3>
        <a:srgbClr val="A0C7A0"/>
      </a:accent3>
      <a:accent4>
        <a:srgbClr val="E1D2C6"/>
      </a:accent4>
      <a:accent5>
        <a:srgbClr val="644B41"/>
      </a:accent5>
      <a:accent6>
        <a:srgbClr val="FF0000"/>
      </a:accent6>
      <a:hlink>
        <a:srgbClr val="000000"/>
      </a:hlink>
      <a:folHlink>
        <a:srgbClr val="00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"/>
  <sheetViews>
    <sheetView tabSelected="1" view="pageLayout" topLeftCell="A7" zoomScale="120" zoomScaleNormal="100" zoomScalePageLayoutView="120" workbookViewId="0">
      <selection activeCell="B7" sqref="B7"/>
    </sheetView>
  </sheetViews>
  <sheetFormatPr baseColWidth="10" defaultRowHeight="14.25" x14ac:dyDescent="0.2"/>
  <cols>
    <col min="1" max="1" width="25" customWidth="1"/>
    <col min="2" max="2" width="22.875" customWidth="1"/>
    <col min="3" max="3" width="17.25" customWidth="1"/>
    <col min="4" max="4" width="22.625" customWidth="1"/>
    <col min="5" max="5" width="14.125" customWidth="1"/>
    <col min="6" max="9" width="11.625" customWidth="1"/>
  </cols>
  <sheetData>
    <row r="1" spans="1:5" ht="23.25" x14ac:dyDescent="0.3">
      <c r="A1" s="1" t="s">
        <v>4</v>
      </c>
      <c r="C1" s="1"/>
    </row>
    <row r="3" spans="1:5" ht="29.25" customHeight="1" x14ac:dyDescent="0.2">
      <c r="A3" s="58" t="s">
        <v>474</v>
      </c>
      <c r="B3" s="58"/>
      <c r="C3" s="58"/>
      <c r="D3" s="58"/>
      <c r="E3" s="18"/>
    </row>
    <row r="5" spans="1:5" x14ac:dyDescent="0.2">
      <c r="A5" s="59" t="s">
        <v>136</v>
      </c>
      <c r="B5" s="59"/>
      <c r="C5" s="59"/>
      <c r="D5" s="59"/>
      <c r="E5" s="19"/>
    </row>
    <row r="6" spans="1:5" x14ac:dyDescent="0.2">
      <c r="A6" s="19"/>
      <c r="B6" s="19"/>
      <c r="C6" s="19"/>
      <c r="D6" s="19"/>
      <c r="E6" s="19"/>
    </row>
    <row r="7" spans="1:5" x14ac:dyDescent="0.2">
      <c r="A7" s="19" t="s">
        <v>137</v>
      </c>
      <c r="B7" s="39"/>
      <c r="C7" s="20" t="s">
        <v>11</v>
      </c>
      <c r="D7" s="39"/>
      <c r="E7" s="19"/>
    </row>
    <row r="8" spans="1:5" x14ac:dyDescent="0.2">
      <c r="A8" s="19" t="s">
        <v>138</v>
      </c>
      <c r="B8" s="39"/>
      <c r="C8" s="20" t="s">
        <v>12</v>
      </c>
      <c r="D8" s="39"/>
      <c r="E8" s="19"/>
    </row>
    <row r="9" spans="1:5" x14ac:dyDescent="0.2">
      <c r="A9" s="19" t="s">
        <v>10</v>
      </c>
      <c r="B9" s="39"/>
      <c r="C9" s="20" t="s">
        <v>13</v>
      </c>
      <c r="D9" s="39"/>
      <c r="E9" s="19"/>
    </row>
    <row r="10" spans="1:5" x14ac:dyDescent="0.2">
      <c r="A10" s="19"/>
      <c r="B10" s="19"/>
      <c r="C10" s="20"/>
      <c r="D10" s="19"/>
      <c r="E10" s="19"/>
    </row>
    <row r="11" spans="1:5" x14ac:dyDescent="0.2">
      <c r="A11" s="19" t="s">
        <v>14</v>
      </c>
      <c r="B11" s="39"/>
      <c r="C11" s="20" t="s">
        <v>17</v>
      </c>
      <c r="D11" s="45"/>
      <c r="E11" s="19"/>
    </row>
    <row r="12" spans="1:5" x14ac:dyDescent="0.2">
      <c r="A12" s="19" t="s">
        <v>15</v>
      </c>
      <c r="B12" s="39"/>
      <c r="C12" s="20" t="s">
        <v>16</v>
      </c>
      <c r="D12" s="43"/>
      <c r="E12" s="19"/>
    </row>
    <row r="13" spans="1:5" x14ac:dyDescent="0.2">
      <c r="A13" s="19"/>
      <c r="B13" s="19"/>
      <c r="C13" s="20"/>
      <c r="D13" s="19"/>
      <c r="E13" s="19"/>
    </row>
    <row r="14" spans="1:5" x14ac:dyDescent="0.2">
      <c r="A14" s="19" t="s">
        <v>19</v>
      </c>
      <c r="B14" s="39"/>
      <c r="C14" s="20" t="s">
        <v>18</v>
      </c>
      <c r="D14" s="39"/>
      <c r="E14" s="19"/>
    </row>
    <row r="15" spans="1:5" x14ac:dyDescent="0.2">
      <c r="A15" s="19"/>
      <c r="B15" s="19"/>
      <c r="C15" s="19"/>
      <c r="D15" s="19"/>
      <c r="E15" s="19"/>
    </row>
    <row r="16" spans="1:5" ht="14.1" customHeight="1" x14ac:dyDescent="0.2">
      <c r="A16" s="59" t="s">
        <v>140</v>
      </c>
      <c r="B16" s="59"/>
      <c r="C16" s="59"/>
      <c r="D16" s="59"/>
      <c r="E16" s="19"/>
    </row>
    <row r="17" spans="1:5" x14ac:dyDescent="0.2">
      <c r="A17" s="19"/>
      <c r="B17" s="19"/>
      <c r="C17" s="19"/>
      <c r="D17" s="19"/>
      <c r="E17" s="19"/>
    </row>
    <row r="18" spans="1:5" x14ac:dyDescent="0.2">
      <c r="A18" s="19"/>
      <c r="B18" s="21" t="s">
        <v>161</v>
      </c>
      <c r="C18" s="21" t="s">
        <v>162</v>
      </c>
      <c r="D18" s="21" t="s">
        <v>163</v>
      </c>
      <c r="E18" s="19"/>
    </row>
    <row r="19" spans="1:5" x14ac:dyDescent="0.2">
      <c r="A19" s="19" t="s">
        <v>160</v>
      </c>
      <c r="B19" s="42"/>
      <c r="C19" s="42"/>
      <c r="D19" s="42"/>
      <c r="E19" s="19"/>
    </row>
    <row r="20" spans="1:5" x14ac:dyDescent="0.2">
      <c r="A20" s="19" t="s">
        <v>1</v>
      </c>
      <c r="B20" s="37"/>
      <c r="C20" s="37"/>
      <c r="D20" s="37"/>
      <c r="E20" s="19"/>
    </row>
    <row r="21" spans="1:5" x14ac:dyDescent="0.2">
      <c r="A21" s="19" t="s">
        <v>2</v>
      </c>
      <c r="B21" s="30">
        <f>B20*Grundlagen!B15</f>
        <v>0</v>
      </c>
      <c r="C21" s="30">
        <f>C20*Grundlagen!B15</f>
        <v>0</v>
      </c>
      <c r="D21" s="30">
        <f>D20*Grundlagen!B15</f>
        <v>0</v>
      </c>
      <c r="E21" s="19"/>
    </row>
    <row r="22" spans="1:5" x14ac:dyDescent="0.2">
      <c r="A22" s="19"/>
      <c r="B22" s="19"/>
      <c r="C22" s="19"/>
      <c r="D22" s="19"/>
      <c r="E22" s="19"/>
    </row>
    <row r="23" spans="1:5" x14ac:dyDescent="0.2">
      <c r="A23" s="59" t="s">
        <v>139</v>
      </c>
      <c r="B23" s="59"/>
      <c r="C23" s="59"/>
      <c r="D23" s="59"/>
      <c r="E23" s="19"/>
    </row>
    <row r="24" spans="1:5" x14ac:dyDescent="0.2">
      <c r="A24" s="19"/>
      <c r="B24" s="19"/>
      <c r="C24" s="19"/>
      <c r="D24" s="19"/>
      <c r="E24" s="19"/>
    </row>
    <row r="25" spans="1:5" x14ac:dyDescent="0.2">
      <c r="A25" s="24" t="s">
        <v>151</v>
      </c>
      <c r="B25" s="37"/>
      <c r="C25" s="19" t="s">
        <v>1</v>
      </c>
      <c r="D25" s="39"/>
      <c r="E25" s="19"/>
    </row>
    <row r="26" spans="1:5" x14ac:dyDescent="0.2">
      <c r="A26" s="19"/>
      <c r="B26" s="19"/>
      <c r="C26" s="19"/>
      <c r="D26" s="19"/>
      <c r="E26" s="19"/>
    </row>
    <row r="27" spans="1:5" x14ac:dyDescent="0.2">
      <c r="A27" s="19"/>
      <c r="B27" s="21" t="s">
        <v>0</v>
      </c>
      <c r="C27" s="21" t="s">
        <v>141</v>
      </c>
      <c r="D27" s="21" t="s">
        <v>2</v>
      </c>
      <c r="E27" s="19"/>
    </row>
    <row r="28" spans="1:5" x14ac:dyDescent="0.2">
      <c r="A28" s="19" t="s">
        <v>5</v>
      </c>
      <c r="B28" s="38"/>
      <c r="C28" s="31">
        <f>D25*B28</f>
        <v>0</v>
      </c>
      <c r="D28" s="22">
        <f>B28*D25*Grundlagen!$B$13</f>
        <v>0</v>
      </c>
      <c r="E28" s="19"/>
    </row>
    <row r="29" spans="1:5" x14ac:dyDescent="0.2">
      <c r="A29" s="19" t="s">
        <v>6</v>
      </c>
      <c r="B29" s="38"/>
      <c r="C29" s="31">
        <f>D25*B29</f>
        <v>0</v>
      </c>
      <c r="D29" s="22">
        <f>B29*D25*Grundlagen!$B$13</f>
        <v>0</v>
      </c>
      <c r="E29" s="19"/>
    </row>
    <row r="30" spans="1:5" x14ac:dyDescent="0.2">
      <c r="A30" s="19" t="s">
        <v>7</v>
      </c>
      <c r="B30" s="38"/>
      <c r="C30" s="31">
        <f>D25*B30</f>
        <v>0</v>
      </c>
      <c r="D30" s="22">
        <f>B30*D25*Grundlagen!$B$14</f>
        <v>0</v>
      </c>
      <c r="E30" s="19"/>
    </row>
    <row r="31" spans="1:5" x14ac:dyDescent="0.2">
      <c r="A31" s="19" t="s">
        <v>8</v>
      </c>
      <c r="B31" s="38"/>
      <c r="C31" s="31">
        <f>D25*B31</f>
        <v>0</v>
      </c>
      <c r="D31" s="22">
        <f>B31*D25*Grundlagen!$B$14</f>
        <v>0</v>
      </c>
      <c r="E31" s="19"/>
    </row>
    <row r="32" spans="1:5" x14ac:dyDescent="0.2">
      <c r="A32" s="19"/>
      <c r="B32" s="19"/>
      <c r="C32" s="19"/>
      <c r="D32" s="19"/>
      <c r="E32" s="19"/>
    </row>
    <row r="33" spans="1:5" x14ac:dyDescent="0.2">
      <c r="A33" s="24" t="s">
        <v>142</v>
      </c>
      <c r="B33" s="19"/>
      <c r="C33" s="19"/>
      <c r="D33" s="19"/>
      <c r="E33" s="19"/>
    </row>
    <row r="34" spans="1:5" ht="27" customHeight="1" x14ac:dyDescent="0.2">
      <c r="A34" s="57" t="s">
        <v>415</v>
      </c>
      <c r="B34" s="57"/>
      <c r="C34" s="57"/>
      <c r="D34" s="57"/>
      <c r="E34" s="19"/>
    </row>
    <row r="35" spans="1:5" x14ac:dyDescent="0.2">
      <c r="A35" s="19"/>
      <c r="B35" s="19"/>
      <c r="C35" s="19"/>
      <c r="D35" s="19"/>
      <c r="E35" s="19"/>
    </row>
    <row r="36" spans="1:5" x14ac:dyDescent="0.2">
      <c r="A36" s="19"/>
      <c r="B36" s="19"/>
      <c r="C36" s="21" t="s">
        <v>3</v>
      </c>
      <c r="D36" s="19"/>
      <c r="E36" s="19"/>
    </row>
    <row r="37" spans="1:5" x14ac:dyDescent="0.2">
      <c r="A37" s="56" t="s">
        <v>146</v>
      </c>
      <c r="B37" s="56"/>
      <c r="C37" s="37"/>
      <c r="D37" s="55">
        <f>C37*50</f>
        <v>0</v>
      </c>
      <c r="E37" s="19"/>
    </row>
    <row r="38" spans="1:5" x14ac:dyDescent="0.2">
      <c r="A38" s="56" t="s">
        <v>147</v>
      </c>
      <c r="B38" s="56"/>
      <c r="C38" s="37"/>
      <c r="D38" s="55">
        <f>C38*25</f>
        <v>0</v>
      </c>
      <c r="E38" s="19"/>
    </row>
    <row r="39" spans="1:5" x14ac:dyDescent="0.2">
      <c r="A39" s="56" t="s">
        <v>143</v>
      </c>
      <c r="B39" s="56"/>
      <c r="C39" s="37"/>
      <c r="D39" s="55">
        <f>C39*20</f>
        <v>0</v>
      </c>
      <c r="E39" s="19"/>
    </row>
    <row r="40" spans="1:5" x14ac:dyDescent="0.2">
      <c r="A40" s="56" t="s">
        <v>144</v>
      </c>
      <c r="B40" s="56"/>
      <c r="C40" s="37"/>
      <c r="D40" s="55">
        <f>C40*500</f>
        <v>0</v>
      </c>
      <c r="E40" s="19"/>
    </row>
    <row r="41" spans="1:5" x14ac:dyDescent="0.2">
      <c r="A41" s="56" t="s">
        <v>145</v>
      </c>
      <c r="B41" s="56"/>
      <c r="C41" s="37"/>
      <c r="D41" s="55">
        <f>C41*25</f>
        <v>0</v>
      </c>
      <c r="E41" s="19"/>
    </row>
    <row r="42" spans="1:5" x14ac:dyDescent="0.2">
      <c r="A42" s="19"/>
      <c r="B42" s="19"/>
      <c r="C42" s="19"/>
      <c r="D42" s="55">
        <f>SUM(D37:D41)</f>
        <v>0</v>
      </c>
      <c r="E42" s="26"/>
    </row>
    <row r="43" spans="1:5" x14ac:dyDescent="0.2">
      <c r="A43" s="24" t="s">
        <v>9</v>
      </c>
      <c r="B43" s="19"/>
      <c r="C43" s="25"/>
      <c r="D43" s="25"/>
      <c r="E43" s="19"/>
    </row>
    <row r="44" spans="1:5" x14ac:dyDescent="0.2">
      <c r="A44" s="40"/>
      <c r="B44" s="41"/>
      <c r="C44" s="44" t="b">
        <v>0</v>
      </c>
      <c r="D44" s="19"/>
      <c r="E44" s="19"/>
    </row>
    <row r="45" spans="1:5" x14ac:dyDescent="0.2">
      <c r="A45" s="19"/>
      <c r="B45" s="19"/>
      <c r="C45" s="19"/>
      <c r="D45" s="19"/>
      <c r="E45" s="19"/>
    </row>
    <row r="46" spans="1:5" x14ac:dyDescent="0.2">
      <c r="A46" s="23" t="str">
        <f>IF(AND(C44=TRUE,D42&gt;0),"Betrag Zusatzoption «hoher Wildtiereinfluss»","")</f>
        <v/>
      </c>
      <c r="B46" s="23"/>
      <c r="C46" s="36" t="str">
        <f>IF(AND(C44=TRUE,D42&gt;0,D42-(3000*(C28+C29))&lt;0),"Mindestbetrag nicht erreicht!","")</f>
        <v/>
      </c>
      <c r="D46" s="22" t="str">
        <f>IF(AND(C44=TRUE,D42&gt;0,D42-(3000*(C28+C29))&gt;=0,D42-(6000*(C28+C29))&gt;0),3000*(C28+C29),IF(AND(C44=TRUE,D42&gt;0,D42-(3000*(C28+C29))&gt;=0,D42-(6000*(C28+C29))&lt;0),D42-3000*(C28+C29),""))</f>
        <v/>
      </c>
      <c r="E46" s="19"/>
    </row>
    <row r="47" spans="1:5" x14ac:dyDescent="0.2">
      <c r="A47" s="24"/>
      <c r="B47" s="24"/>
      <c r="C47" s="24"/>
      <c r="D47" s="24"/>
      <c r="E47" s="19"/>
    </row>
    <row r="48" spans="1:5" x14ac:dyDescent="0.2">
      <c r="A48" s="90" t="str">
        <f>_xlfn.TEXTJOIN(" ", TRUE, "Beiträge total WERDE",B25)</f>
        <v>Beiträge total WERDE</v>
      </c>
      <c r="B48" s="90"/>
      <c r="C48" s="90"/>
      <c r="D48" s="91">
        <f>IF(ISNUMBER(D46)=TRUE,D46+D28+D29+D30+D31,D28+D29+D30+D31)</f>
        <v>0</v>
      </c>
      <c r="E48" s="19"/>
    </row>
    <row r="49" spans="1:5" x14ac:dyDescent="0.2">
      <c r="A49" s="24"/>
      <c r="B49" s="24"/>
      <c r="C49" s="24"/>
      <c r="D49" s="27"/>
      <c r="E49" s="19"/>
    </row>
    <row r="50" spans="1:5" ht="6.95" customHeight="1" x14ac:dyDescent="0.2">
      <c r="A50" s="19"/>
      <c r="B50" s="19"/>
      <c r="C50" s="19"/>
      <c r="D50" s="19"/>
      <c r="E50" s="19"/>
    </row>
    <row r="51" spans="1:5" ht="6.95" customHeight="1" x14ac:dyDescent="0.2">
      <c r="A51" s="28"/>
      <c r="B51" s="28"/>
      <c r="C51" s="28"/>
      <c r="D51" s="28"/>
      <c r="E51" s="19"/>
    </row>
    <row r="52" spans="1:5" ht="6.95" customHeight="1" x14ac:dyDescent="0.2">
      <c r="A52" s="19"/>
      <c r="B52" s="19"/>
      <c r="C52" s="19"/>
      <c r="D52" s="19"/>
      <c r="E52" s="19"/>
    </row>
    <row r="53" spans="1:5" x14ac:dyDescent="0.2">
      <c r="A53" s="24" t="s">
        <v>152</v>
      </c>
      <c r="B53" s="92"/>
      <c r="C53" s="19" t="s">
        <v>1</v>
      </c>
      <c r="D53" s="39"/>
      <c r="E53" s="19"/>
    </row>
    <row r="54" spans="1:5" x14ac:dyDescent="0.2">
      <c r="C54" s="19"/>
      <c r="D54" s="19"/>
      <c r="E54" s="19"/>
    </row>
    <row r="55" spans="1:5" x14ac:dyDescent="0.2">
      <c r="A55" s="19"/>
      <c r="B55" s="21" t="s">
        <v>0</v>
      </c>
      <c r="C55" s="21" t="s">
        <v>141</v>
      </c>
      <c r="D55" s="21" t="s">
        <v>2</v>
      </c>
    </row>
    <row r="56" spans="1:5" x14ac:dyDescent="0.2">
      <c r="A56" s="19" t="s">
        <v>5</v>
      </c>
      <c r="B56" s="38"/>
      <c r="C56" s="31">
        <f>D53*B56</f>
        <v>0</v>
      </c>
      <c r="D56" s="22">
        <f>B56*D53*Grundlagen!$B$13</f>
        <v>0</v>
      </c>
    </row>
    <row r="57" spans="1:5" x14ac:dyDescent="0.2">
      <c r="A57" s="19" t="s">
        <v>6</v>
      </c>
      <c r="B57" s="38"/>
      <c r="C57" s="31">
        <f>D53*B57</f>
        <v>0</v>
      </c>
      <c r="D57" s="22">
        <f>B57*D53*Grundlagen!$B$13</f>
        <v>0</v>
      </c>
    </row>
    <row r="58" spans="1:5" x14ac:dyDescent="0.2">
      <c r="A58" s="19" t="s">
        <v>7</v>
      </c>
      <c r="B58" s="38"/>
      <c r="C58" s="31">
        <f>D53*B58</f>
        <v>0</v>
      </c>
      <c r="D58" s="22">
        <f>B58*D53*Grundlagen!$B$14</f>
        <v>0</v>
      </c>
    </row>
    <row r="59" spans="1:5" x14ac:dyDescent="0.2">
      <c r="A59" s="19" t="s">
        <v>8</v>
      </c>
      <c r="B59" s="38"/>
      <c r="C59" s="31">
        <f>D53*B59</f>
        <v>0</v>
      </c>
      <c r="D59" s="22">
        <f>B59*D53*Grundlagen!$B$14</f>
        <v>0</v>
      </c>
    </row>
    <row r="60" spans="1:5" x14ac:dyDescent="0.2">
      <c r="A60" s="19"/>
      <c r="B60" s="19"/>
      <c r="C60" s="19"/>
      <c r="D60" s="19"/>
    </row>
    <row r="61" spans="1:5" x14ac:dyDescent="0.2">
      <c r="A61" s="24" t="s">
        <v>142</v>
      </c>
      <c r="B61" s="19"/>
      <c r="C61" s="19"/>
      <c r="D61" s="19"/>
    </row>
    <row r="62" spans="1:5" ht="28.5" customHeight="1" x14ac:dyDescent="0.2">
      <c r="A62" s="57" t="s">
        <v>415</v>
      </c>
      <c r="B62" s="57"/>
      <c r="C62" s="57"/>
      <c r="D62" s="57"/>
    </row>
    <row r="63" spans="1:5" x14ac:dyDescent="0.2">
      <c r="A63" s="19"/>
      <c r="B63" s="19"/>
      <c r="C63" s="19"/>
      <c r="D63" s="19"/>
    </row>
    <row r="64" spans="1:5" x14ac:dyDescent="0.2">
      <c r="A64" s="19"/>
      <c r="B64" s="19"/>
      <c r="C64" s="21" t="s">
        <v>3</v>
      </c>
      <c r="D64" s="21"/>
    </row>
    <row r="65" spans="1:5" x14ac:dyDescent="0.2">
      <c r="A65" s="56" t="s">
        <v>146</v>
      </c>
      <c r="B65" s="56"/>
      <c r="C65" s="37"/>
      <c r="D65" s="55">
        <f>C65*50</f>
        <v>0</v>
      </c>
    </row>
    <row r="66" spans="1:5" x14ac:dyDescent="0.2">
      <c r="A66" s="56" t="s">
        <v>147</v>
      </c>
      <c r="B66" s="56"/>
      <c r="C66" s="37"/>
      <c r="D66" s="55">
        <f>C66*25</f>
        <v>0</v>
      </c>
    </row>
    <row r="67" spans="1:5" x14ac:dyDescent="0.2">
      <c r="A67" s="56" t="s">
        <v>143</v>
      </c>
      <c r="B67" s="56"/>
      <c r="C67" s="37">
        <v>600</v>
      </c>
      <c r="D67" s="55">
        <f>C67*20</f>
        <v>12000</v>
      </c>
    </row>
    <row r="68" spans="1:5" x14ac:dyDescent="0.2">
      <c r="A68" s="56" t="s">
        <v>144</v>
      </c>
      <c r="B68" s="56"/>
      <c r="C68" s="37"/>
      <c r="D68" s="55">
        <f>C68*500</f>
        <v>0</v>
      </c>
    </row>
    <row r="69" spans="1:5" x14ac:dyDescent="0.2">
      <c r="A69" s="56" t="s">
        <v>145</v>
      </c>
      <c r="B69" s="56"/>
      <c r="C69" s="37"/>
      <c r="D69" s="55">
        <f>C69*25</f>
        <v>0</v>
      </c>
    </row>
    <row r="70" spans="1:5" x14ac:dyDescent="0.2">
      <c r="A70" s="19"/>
      <c r="B70" s="19"/>
      <c r="C70" s="19"/>
      <c r="D70" s="55">
        <f>SUM(D65:D69)</f>
        <v>12000</v>
      </c>
    </row>
    <row r="71" spans="1:5" x14ac:dyDescent="0.2">
      <c r="A71" s="24" t="s">
        <v>9</v>
      </c>
      <c r="B71" s="19"/>
      <c r="C71" s="25"/>
      <c r="D71" s="25"/>
    </row>
    <row r="72" spans="1:5" x14ac:dyDescent="0.2">
      <c r="A72" s="40"/>
      <c r="B72" s="41"/>
      <c r="C72" s="44" t="b">
        <v>1</v>
      </c>
      <c r="D72" s="19"/>
    </row>
    <row r="73" spans="1:5" x14ac:dyDescent="0.2">
      <c r="A73" s="19"/>
      <c r="B73" s="19"/>
      <c r="C73" s="19"/>
      <c r="D73" s="19"/>
    </row>
    <row r="74" spans="1:5" x14ac:dyDescent="0.2">
      <c r="A74" s="23" t="str">
        <f>IF(AND(C72=TRUE,D70&gt;0),"Betrag Zusatzoption «hoher Wildtiereinfluss»","")</f>
        <v>Betrag Zusatzoption «hoher Wildtiereinfluss»</v>
      </c>
      <c r="B74" s="23"/>
      <c r="C74" s="36" t="str">
        <f>IF(AND(C72=TRUE,D70&gt;0,D70-(3000*(C56+C57))&lt;0),"Mindestbetrag nicht erreicht!","")</f>
        <v/>
      </c>
      <c r="D74" s="22">
        <f>IF(AND(C72=TRUE,D70&gt;0,D70-(3000*(C56+C57))&gt;=0,D70-(6000*(C56+C57))&gt;0),3000*(C56+C57),IF(AND(C72=TRUE,D70&gt;0,D70-(3000*(C56+C57))&gt;=0,D70-(6000*(C56+C57))&lt;0),D70-3000*(C56+C57),""))</f>
        <v>0</v>
      </c>
    </row>
    <row r="75" spans="1:5" s="87" customFormat="1" x14ac:dyDescent="0.2">
      <c r="A75" s="84"/>
      <c r="B75" s="84"/>
      <c r="C75" s="85"/>
      <c r="D75" s="86"/>
    </row>
    <row r="76" spans="1:5" x14ac:dyDescent="0.2">
      <c r="A76" s="90" t="str">
        <f>_xlfn.TEXTJOIN(" ", TRUE, "Beiträge total WERDE",B53)</f>
        <v>Beiträge total WERDE</v>
      </c>
      <c r="B76" s="90"/>
      <c r="C76" s="90"/>
      <c r="D76" s="91">
        <f>IF(ISNUMBER(D74)=TRUE,D74+D56+D57+D58+D59,D56+D57+D58+D59)</f>
        <v>0</v>
      </c>
      <c r="E76" s="19"/>
    </row>
    <row r="77" spans="1:5" ht="6.95" customHeight="1" x14ac:dyDescent="0.2">
      <c r="A77" s="19"/>
      <c r="B77" s="19"/>
      <c r="C77" s="19"/>
      <c r="D77" s="19"/>
      <c r="E77" s="19"/>
    </row>
    <row r="78" spans="1:5" ht="6.95" customHeight="1" x14ac:dyDescent="0.2">
      <c r="A78" s="28"/>
      <c r="B78" s="28"/>
      <c r="C78" s="28"/>
      <c r="D78" s="28"/>
      <c r="E78" s="19"/>
    </row>
    <row r="79" spans="1:5" ht="6.95" customHeight="1" x14ac:dyDescent="0.2">
      <c r="A79" s="19"/>
      <c r="B79" s="19"/>
      <c r="C79" s="19"/>
      <c r="D79" s="19"/>
      <c r="E79" s="19"/>
    </row>
    <row r="80" spans="1:5" x14ac:dyDescent="0.2">
      <c r="A80" s="24" t="s">
        <v>153</v>
      </c>
      <c r="B80" s="92"/>
      <c r="C80" s="19" t="s">
        <v>1</v>
      </c>
      <c r="D80" s="39"/>
    </row>
    <row r="81" spans="1:4" x14ac:dyDescent="0.2">
      <c r="A81" s="19"/>
      <c r="B81" s="19"/>
      <c r="C81" s="19"/>
      <c r="D81" s="19"/>
    </row>
    <row r="82" spans="1:4" x14ac:dyDescent="0.2">
      <c r="A82" s="19"/>
      <c r="B82" s="21" t="s">
        <v>0</v>
      </c>
      <c r="C82" s="21" t="s">
        <v>141</v>
      </c>
      <c r="D82" s="21" t="s">
        <v>2</v>
      </c>
    </row>
    <row r="83" spans="1:4" x14ac:dyDescent="0.2">
      <c r="A83" s="19" t="s">
        <v>5</v>
      </c>
      <c r="B83" s="38"/>
      <c r="C83" s="31">
        <f>D80*B83</f>
        <v>0</v>
      </c>
      <c r="D83" s="22">
        <f>B83*D80*Grundlagen!$B$13</f>
        <v>0</v>
      </c>
    </row>
    <row r="84" spans="1:4" x14ac:dyDescent="0.2">
      <c r="A84" s="19" t="s">
        <v>6</v>
      </c>
      <c r="B84" s="38"/>
      <c r="C84" s="31">
        <f>D80*B84</f>
        <v>0</v>
      </c>
      <c r="D84" s="22">
        <f>B84*D80*Grundlagen!$B$13</f>
        <v>0</v>
      </c>
    </row>
    <row r="85" spans="1:4" x14ac:dyDescent="0.2">
      <c r="A85" s="19" t="s">
        <v>7</v>
      </c>
      <c r="B85" s="38"/>
      <c r="C85" s="31">
        <f>D80*B85</f>
        <v>0</v>
      </c>
      <c r="D85" s="22">
        <f>B85*D80*Grundlagen!$B$14</f>
        <v>0</v>
      </c>
    </row>
    <row r="86" spans="1:4" x14ac:dyDescent="0.2">
      <c r="A86" s="19" t="s">
        <v>8</v>
      </c>
      <c r="B86" s="38"/>
      <c r="C86" s="31">
        <f>D80*B86</f>
        <v>0</v>
      </c>
      <c r="D86" s="22">
        <f>B86*D80*Grundlagen!$B$14</f>
        <v>0</v>
      </c>
    </row>
    <row r="87" spans="1:4" x14ac:dyDescent="0.2">
      <c r="A87" s="19"/>
      <c r="B87" s="19"/>
      <c r="C87" s="19"/>
      <c r="D87" s="19"/>
    </row>
    <row r="88" spans="1:4" x14ac:dyDescent="0.2">
      <c r="A88" s="24" t="s">
        <v>142</v>
      </c>
      <c r="B88" s="19"/>
      <c r="C88" s="19"/>
      <c r="D88" s="19"/>
    </row>
    <row r="89" spans="1:4" ht="27" customHeight="1" x14ac:dyDescent="0.2">
      <c r="A89" s="57" t="s">
        <v>415</v>
      </c>
      <c r="B89" s="57"/>
      <c r="C89" s="57"/>
      <c r="D89" s="57"/>
    </row>
    <row r="90" spans="1:4" x14ac:dyDescent="0.2">
      <c r="A90" s="19"/>
      <c r="B90" s="19"/>
      <c r="C90" s="19"/>
      <c r="D90" s="19"/>
    </row>
    <row r="91" spans="1:4" x14ac:dyDescent="0.2">
      <c r="A91" s="19"/>
      <c r="B91" s="19"/>
      <c r="C91" s="21" t="s">
        <v>3</v>
      </c>
      <c r="D91" s="21"/>
    </row>
    <row r="92" spans="1:4" x14ac:dyDescent="0.2">
      <c r="A92" s="56" t="s">
        <v>146</v>
      </c>
      <c r="B92" s="56"/>
      <c r="C92" s="37"/>
      <c r="D92" s="55">
        <f>C92*50</f>
        <v>0</v>
      </c>
    </row>
    <row r="93" spans="1:4" x14ac:dyDescent="0.2">
      <c r="A93" s="56" t="s">
        <v>147</v>
      </c>
      <c r="B93" s="56"/>
      <c r="C93" s="37"/>
      <c r="D93" s="55">
        <f>C93*25</f>
        <v>0</v>
      </c>
    </row>
    <row r="94" spans="1:4" x14ac:dyDescent="0.2">
      <c r="A94" s="56" t="s">
        <v>143</v>
      </c>
      <c r="B94" s="56"/>
      <c r="C94" s="37"/>
      <c r="D94" s="55">
        <f>C94*20</f>
        <v>0</v>
      </c>
    </row>
    <row r="95" spans="1:4" x14ac:dyDescent="0.2">
      <c r="A95" s="56" t="s">
        <v>144</v>
      </c>
      <c r="B95" s="56"/>
      <c r="C95" s="37"/>
      <c r="D95" s="55">
        <f>C95*500</f>
        <v>0</v>
      </c>
    </row>
    <row r="96" spans="1:4" x14ac:dyDescent="0.2">
      <c r="A96" s="56" t="s">
        <v>145</v>
      </c>
      <c r="B96" s="56"/>
      <c r="C96" s="37"/>
      <c r="D96" s="55">
        <f>C96*25</f>
        <v>0</v>
      </c>
    </row>
    <row r="97" spans="1:5" x14ac:dyDescent="0.2">
      <c r="A97" s="19"/>
      <c r="B97" s="19"/>
      <c r="C97" s="19"/>
      <c r="D97" s="55">
        <f>SUM(D92:D96)</f>
        <v>0</v>
      </c>
    </row>
    <row r="98" spans="1:5" x14ac:dyDescent="0.2">
      <c r="A98" s="24" t="s">
        <v>9</v>
      </c>
      <c r="B98" s="19"/>
      <c r="C98" s="25"/>
      <c r="D98" s="25"/>
    </row>
    <row r="99" spans="1:5" x14ac:dyDescent="0.2">
      <c r="A99" s="40"/>
      <c r="B99" s="41"/>
      <c r="C99" s="44" t="b">
        <v>0</v>
      </c>
      <c r="D99" s="19"/>
    </row>
    <row r="100" spans="1:5" x14ac:dyDescent="0.2">
      <c r="A100" s="19"/>
      <c r="B100" s="19"/>
      <c r="C100" s="19"/>
      <c r="D100" s="19"/>
    </row>
    <row r="101" spans="1:5" x14ac:dyDescent="0.2">
      <c r="A101" s="23" t="str">
        <f>IF(AND(C99=TRUE,D97&gt;0),"Betrag Zusatzoption «hoher Wildtiereinfluss»","")</f>
        <v/>
      </c>
      <c r="B101" s="23"/>
      <c r="C101" s="36" t="str">
        <f>IF(AND(C99=TRUE,D97&gt;0,D97-(3000*(C83+C84))&lt;0),"Mindestbetrag nicht erreicht!","")</f>
        <v/>
      </c>
      <c r="D101" s="22" t="str">
        <f>IF(AND(C99=TRUE,D97&gt;0,D97-(3000*(C83+C84))&gt;=0,D97-(6000*(C83+C84))&gt;0),3000*(C83+C84),IF(AND(C99=TRUE,D97&gt;0,D97-(3000*(C83+C84))&gt;=0,D97-(6000*(C83+C84))&lt;0),D97-3000*(C83+C84),""))</f>
        <v/>
      </c>
    </row>
    <row r="102" spans="1:5" x14ac:dyDescent="0.2">
      <c r="A102" s="19"/>
      <c r="B102" s="19"/>
      <c r="C102" s="19"/>
      <c r="D102" s="19"/>
    </row>
    <row r="103" spans="1:5" x14ac:dyDescent="0.2">
      <c r="A103" s="90" t="str">
        <f>_xlfn.TEXTJOIN(" ", TRUE, "Beiträge total WERDE",B80)</f>
        <v>Beiträge total WERDE</v>
      </c>
      <c r="B103" s="90"/>
      <c r="C103" s="90"/>
      <c r="D103" s="91">
        <f>IF(ISNUMBER(D101)=TRUE,D101+D83+D84+D85+D86,D83+D84+D85+D86)</f>
        <v>0</v>
      </c>
    </row>
    <row r="104" spans="1:5" ht="6.95" customHeight="1" x14ac:dyDescent="0.2">
      <c r="A104" s="19"/>
      <c r="B104" s="19"/>
      <c r="C104" s="19"/>
      <c r="D104" s="19"/>
      <c r="E104" s="19"/>
    </row>
    <row r="105" spans="1:5" ht="6.95" customHeight="1" x14ac:dyDescent="0.2">
      <c r="A105" s="28"/>
      <c r="B105" s="28"/>
      <c r="C105" s="28"/>
      <c r="D105" s="28"/>
      <c r="E105" s="19"/>
    </row>
    <row r="106" spans="1:5" ht="6.95" customHeight="1" x14ac:dyDescent="0.2">
      <c r="A106" s="19"/>
      <c r="B106" s="19"/>
      <c r="C106" s="19"/>
      <c r="D106" s="19"/>
      <c r="E106" s="19"/>
    </row>
    <row r="107" spans="1:5" x14ac:dyDescent="0.2">
      <c r="A107" s="24" t="s">
        <v>154</v>
      </c>
      <c r="B107" s="92"/>
      <c r="C107" s="19" t="s">
        <v>1</v>
      </c>
      <c r="D107" s="39"/>
    </row>
    <row r="108" spans="1:5" x14ac:dyDescent="0.2">
      <c r="A108" s="19"/>
      <c r="B108" s="19"/>
      <c r="C108" s="19"/>
      <c r="D108" s="19"/>
    </row>
    <row r="109" spans="1:5" x14ac:dyDescent="0.2">
      <c r="A109" s="19"/>
      <c r="B109" s="21" t="s">
        <v>0</v>
      </c>
      <c r="C109" s="21" t="s">
        <v>141</v>
      </c>
      <c r="D109" s="21" t="s">
        <v>2</v>
      </c>
    </row>
    <row r="110" spans="1:5" x14ac:dyDescent="0.2">
      <c r="A110" s="19" t="s">
        <v>5</v>
      </c>
      <c r="B110" s="38"/>
      <c r="C110" s="31">
        <f>D107*B110</f>
        <v>0</v>
      </c>
      <c r="D110" s="22">
        <f>B110*D107*Grundlagen!$B$13</f>
        <v>0</v>
      </c>
    </row>
    <row r="111" spans="1:5" x14ac:dyDescent="0.2">
      <c r="A111" s="19" t="s">
        <v>6</v>
      </c>
      <c r="B111" s="38"/>
      <c r="C111" s="31">
        <f>D107*B111</f>
        <v>0</v>
      </c>
      <c r="D111" s="22">
        <f>B111*D107*Grundlagen!$B$13</f>
        <v>0</v>
      </c>
    </row>
    <row r="112" spans="1:5" x14ac:dyDescent="0.2">
      <c r="A112" s="19" t="s">
        <v>7</v>
      </c>
      <c r="B112" s="38"/>
      <c r="C112" s="31">
        <f>D107*B112</f>
        <v>0</v>
      </c>
      <c r="D112" s="22">
        <f>B112*D107*Grundlagen!$B$14</f>
        <v>0</v>
      </c>
    </row>
    <row r="113" spans="1:4" x14ac:dyDescent="0.2">
      <c r="A113" s="19" t="s">
        <v>8</v>
      </c>
      <c r="B113" s="38"/>
      <c r="C113" s="31">
        <f>D107*B113</f>
        <v>0</v>
      </c>
      <c r="D113" s="22">
        <f>B113*D107*Grundlagen!$B$14</f>
        <v>0</v>
      </c>
    </row>
    <row r="114" spans="1:4" x14ac:dyDescent="0.2">
      <c r="A114" s="19"/>
      <c r="B114" s="19"/>
      <c r="C114" s="19"/>
      <c r="D114" s="19"/>
    </row>
    <row r="115" spans="1:4" x14ac:dyDescent="0.2">
      <c r="A115" s="24" t="s">
        <v>142</v>
      </c>
      <c r="B115" s="19"/>
      <c r="C115" s="19"/>
      <c r="D115" s="19"/>
    </row>
    <row r="116" spans="1:4" ht="27.75" customHeight="1" x14ac:dyDescent="0.2">
      <c r="A116" s="57" t="s">
        <v>415</v>
      </c>
      <c r="B116" s="57"/>
      <c r="C116" s="57"/>
      <c r="D116" s="57"/>
    </row>
    <row r="117" spans="1:4" x14ac:dyDescent="0.2">
      <c r="A117" s="19"/>
      <c r="B117" s="19"/>
      <c r="C117" s="19"/>
      <c r="D117" s="19"/>
    </row>
    <row r="118" spans="1:4" x14ac:dyDescent="0.2">
      <c r="A118" s="19"/>
      <c r="B118" s="19"/>
      <c r="C118" s="21" t="s">
        <v>3</v>
      </c>
      <c r="D118" s="19"/>
    </row>
    <row r="119" spans="1:4" x14ac:dyDescent="0.2">
      <c r="A119" s="56" t="s">
        <v>146</v>
      </c>
      <c r="B119" s="56"/>
      <c r="C119" s="37"/>
      <c r="D119" s="55">
        <f>C119*50</f>
        <v>0</v>
      </c>
    </row>
    <row r="120" spans="1:4" x14ac:dyDescent="0.2">
      <c r="A120" s="56" t="s">
        <v>147</v>
      </c>
      <c r="B120" s="56"/>
      <c r="C120" s="37"/>
      <c r="D120" s="55">
        <f>C120*25</f>
        <v>0</v>
      </c>
    </row>
    <row r="121" spans="1:4" x14ac:dyDescent="0.2">
      <c r="A121" s="56" t="s">
        <v>143</v>
      </c>
      <c r="B121" s="56"/>
      <c r="C121" s="37"/>
      <c r="D121" s="55">
        <f>C121*20</f>
        <v>0</v>
      </c>
    </row>
    <row r="122" spans="1:4" x14ac:dyDescent="0.2">
      <c r="A122" s="56" t="s">
        <v>144</v>
      </c>
      <c r="B122" s="56"/>
      <c r="C122" s="37"/>
      <c r="D122" s="55">
        <f>C122*500</f>
        <v>0</v>
      </c>
    </row>
    <row r="123" spans="1:4" x14ac:dyDescent="0.2">
      <c r="A123" s="56" t="s">
        <v>145</v>
      </c>
      <c r="B123" s="56"/>
      <c r="C123" s="37"/>
      <c r="D123" s="55">
        <f>C123*25</f>
        <v>0</v>
      </c>
    </row>
    <row r="124" spans="1:4" x14ac:dyDescent="0.2">
      <c r="A124" s="19"/>
      <c r="B124" s="19"/>
      <c r="C124" s="19"/>
      <c r="D124" s="55">
        <f>SUM(D119:D123)</f>
        <v>0</v>
      </c>
    </row>
    <row r="125" spans="1:4" x14ac:dyDescent="0.2">
      <c r="A125" s="24" t="s">
        <v>9</v>
      </c>
      <c r="B125" s="19"/>
      <c r="C125" s="25"/>
      <c r="D125" s="25"/>
    </row>
    <row r="126" spans="1:4" x14ac:dyDescent="0.2">
      <c r="A126" s="40"/>
      <c r="B126" s="41"/>
      <c r="C126" s="44" t="b">
        <v>0</v>
      </c>
      <c r="D126" s="19"/>
    </row>
    <row r="127" spans="1:4" x14ac:dyDescent="0.2">
      <c r="A127" s="19"/>
      <c r="B127" s="19"/>
      <c r="C127" s="19"/>
      <c r="D127" s="19"/>
    </row>
    <row r="128" spans="1:4" x14ac:dyDescent="0.2">
      <c r="A128" s="23" t="str">
        <f>IF(AND(C126=TRUE,D124&gt;0),"Betrag Zusatzoption «hoher Wildtiereinfluss»","")</f>
        <v/>
      </c>
      <c r="B128" s="23"/>
      <c r="C128" s="36" t="str">
        <f>IF(AND(C126=TRUE,D124&gt;0,D124-(3000*(C110+C111))&lt;0),"Mindestbetrag nicht erreicht!","")</f>
        <v/>
      </c>
      <c r="D128" s="22" t="str">
        <f>IF(AND(C126=TRUE,D124&gt;0,D124-(3000*(C110+C111))&gt;=0,D124-(6000*(C110+C111))&gt;0),3000*(C110+C111),IF(AND(C126=TRUE,D124&gt;0,D124-(3000*(C110+C111))&gt;=0,D124-(6000*(C110+C111))&lt;0),D124-3000*(C110+C111),""))</f>
        <v/>
      </c>
    </row>
    <row r="129" spans="1:5" s="87" customFormat="1" x14ac:dyDescent="0.2">
      <c r="A129" s="84"/>
      <c r="B129" s="84"/>
      <c r="C129" s="85"/>
      <c r="D129" s="86"/>
    </row>
    <row r="130" spans="1:5" x14ac:dyDescent="0.2">
      <c r="A130" s="90" t="str">
        <f>_xlfn.TEXTJOIN(" ", TRUE, "Beiträge total WERDE",B107)</f>
        <v>Beiträge total WERDE</v>
      </c>
      <c r="B130" s="90"/>
      <c r="C130" s="90"/>
      <c r="D130" s="91">
        <f>IF(ISNUMBER(D128)=TRUE,D128+D110+D111+D112+D113,D110+D111+D112+D113)</f>
        <v>0</v>
      </c>
    </row>
    <row r="131" spans="1:5" ht="6.95" customHeight="1" x14ac:dyDescent="0.2">
      <c r="A131" s="19"/>
      <c r="B131" s="19"/>
      <c r="C131" s="19"/>
      <c r="D131" s="19"/>
      <c r="E131" s="19"/>
    </row>
    <row r="132" spans="1:5" ht="6.95" customHeight="1" x14ac:dyDescent="0.2">
      <c r="A132" s="28"/>
      <c r="B132" s="28"/>
      <c r="C132" s="28"/>
      <c r="D132" s="28"/>
      <c r="E132" s="19"/>
    </row>
    <row r="133" spans="1:5" ht="6.95" customHeight="1" x14ac:dyDescent="0.2">
      <c r="A133" s="19"/>
      <c r="B133" s="19"/>
      <c r="C133" s="19"/>
      <c r="D133" s="19"/>
      <c r="E133" s="19"/>
    </row>
    <row r="134" spans="1:5" x14ac:dyDescent="0.2">
      <c r="A134" s="24" t="s">
        <v>155</v>
      </c>
      <c r="B134" s="92"/>
      <c r="C134" s="19" t="s">
        <v>1</v>
      </c>
      <c r="D134" s="39"/>
    </row>
    <row r="135" spans="1:5" x14ac:dyDescent="0.2">
      <c r="A135" s="19"/>
      <c r="B135" s="19"/>
      <c r="C135" s="19"/>
      <c r="D135" s="19"/>
    </row>
    <row r="136" spans="1:5" x14ac:dyDescent="0.2">
      <c r="A136" s="19"/>
      <c r="B136" s="21" t="s">
        <v>0</v>
      </c>
      <c r="C136" s="21" t="s">
        <v>141</v>
      </c>
      <c r="D136" s="21" t="s">
        <v>2</v>
      </c>
    </row>
    <row r="137" spans="1:5" x14ac:dyDescent="0.2">
      <c r="A137" s="19" t="s">
        <v>5</v>
      </c>
      <c r="B137" s="38"/>
      <c r="C137" s="31">
        <f>D134*B137</f>
        <v>0</v>
      </c>
      <c r="D137" s="22">
        <f>B137*D134*Grundlagen!$B$13</f>
        <v>0</v>
      </c>
    </row>
    <row r="138" spans="1:5" x14ac:dyDescent="0.2">
      <c r="A138" s="19" t="s">
        <v>6</v>
      </c>
      <c r="B138" s="38"/>
      <c r="C138" s="31">
        <f>D134*B138</f>
        <v>0</v>
      </c>
      <c r="D138" s="22">
        <f>B138*D134*Grundlagen!$B$13</f>
        <v>0</v>
      </c>
    </row>
    <row r="139" spans="1:5" x14ac:dyDescent="0.2">
      <c r="A139" s="19" t="s">
        <v>7</v>
      </c>
      <c r="B139" s="38"/>
      <c r="C139" s="31">
        <f>D134*B139</f>
        <v>0</v>
      </c>
      <c r="D139" s="22">
        <f>B139*D134*Grundlagen!$B$14</f>
        <v>0</v>
      </c>
    </row>
    <row r="140" spans="1:5" x14ac:dyDescent="0.2">
      <c r="A140" s="19" t="s">
        <v>8</v>
      </c>
      <c r="B140" s="38"/>
      <c r="C140" s="31">
        <f>D134*B140</f>
        <v>0</v>
      </c>
      <c r="D140" s="22">
        <f>B140*D134*Grundlagen!$B$14</f>
        <v>0</v>
      </c>
    </row>
    <row r="141" spans="1:5" x14ac:dyDescent="0.2">
      <c r="A141" s="19"/>
      <c r="B141" s="19"/>
      <c r="C141" s="19"/>
      <c r="D141" s="19"/>
    </row>
    <row r="142" spans="1:5" x14ac:dyDescent="0.2">
      <c r="A142" s="24" t="s">
        <v>142</v>
      </c>
      <c r="B142" s="19"/>
      <c r="C142" s="19"/>
      <c r="D142" s="19"/>
    </row>
    <row r="143" spans="1:5" ht="27.4" customHeight="1" x14ac:dyDescent="0.2">
      <c r="A143" s="57" t="s">
        <v>415</v>
      </c>
      <c r="B143" s="57"/>
      <c r="C143" s="57"/>
      <c r="D143" s="57"/>
    </row>
    <row r="144" spans="1:5" x14ac:dyDescent="0.2">
      <c r="A144" s="19"/>
      <c r="B144" s="19"/>
      <c r="C144" s="19"/>
      <c r="D144" s="19"/>
    </row>
    <row r="145" spans="1:5" x14ac:dyDescent="0.2">
      <c r="A145" s="19"/>
      <c r="B145" s="19"/>
      <c r="C145" s="21" t="s">
        <v>3</v>
      </c>
      <c r="D145" s="19"/>
    </row>
    <row r="146" spans="1:5" x14ac:dyDescent="0.2">
      <c r="A146" s="56" t="s">
        <v>146</v>
      </c>
      <c r="B146" s="56"/>
      <c r="C146" s="37"/>
      <c r="D146" s="55">
        <f>C146*50</f>
        <v>0</v>
      </c>
    </row>
    <row r="147" spans="1:5" x14ac:dyDescent="0.2">
      <c r="A147" s="56" t="s">
        <v>147</v>
      </c>
      <c r="B147" s="56"/>
      <c r="C147" s="37"/>
      <c r="D147" s="55">
        <f>C147*25</f>
        <v>0</v>
      </c>
    </row>
    <row r="148" spans="1:5" x14ac:dyDescent="0.2">
      <c r="A148" s="56" t="s">
        <v>143</v>
      </c>
      <c r="B148" s="56"/>
      <c r="C148" s="37"/>
      <c r="D148" s="55">
        <f>C148*20</f>
        <v>0</v>
      </c>
    </row>
    <row r="149" spans="1:5" x14ac:dyDescent="0.2">
      <c r="A149" s="56" t="s">
        <v>144</v>
      </c>
      <c r="B149" s="56"/>
      <c r="C149" s="37"/>
      <c r="D149" s="55">
        <f>C149*500</f>
        <v>0</v>
      </c>
    </row>
    <row r="150" spans="1:5" x14ac:dyDescent="0.2">
      <c r="A150" s="56" t="s">
        <v>145</v>
      </c>
      <c r="B150" s="56"/>
      <c r="C150" s="37"/>
      <c r="D150" s="55">
        <f>C150*25</f>
        <v>0</v>
      </c>
    </row>
    <row r="151" spans="1:5" x14ac:dyDescent="0.2">
      <c r="A151" s="19"/>
      <c r="B151" s="19"/>
      <c r="C151" s="19"/>
      <c r="D151" s="55">
        <f>SUM(D146:D150)</f>
        <v>0</v>
      </c>
    </row>
    <row r="152" spans="1:5" x14ac:dyDescent="0.2">
      <c r="A152" s="24" t="s">
        <v>9</v>
      </c>
      <c r="B152" s="19"/>
      <c r="C152" s="25"/>
      <c r="D152" s="25"/>
    </row>
    <row r="153" spans="1:5" x14ac:dyDescent="0.2">
      <c r="A153" s="40"/>
      <c r="B153" s="41"/>
      <c r="C153" s="44" t="b">
        <v>0</v>
      </c>
      <c r="D153" s="19"/>
    </row>
    <row r="154" spans="1:5" x14ac:dyDescent="0.2">
      <c r="A154" s="19"/>
      <c r="B154" s="19"/>
      <c r="C154" s="19"/>
      <c r="D154" s="19"/>
    </row>
    <row r="155" spans="1:5" x14ac:dyDescent="0.2">
      <c r="A155" s="23" t="str">
        <f>IF(AND(C153=TRUE,D151&gt;0),"Betrag Zusatzoption «hoher Wildtiereinfluss»","")</f>
        <v/>
      </c>
      <c r="B155" s="23"/>
      <c r="C155" s="36" t="str">
        <f>IF(AND(C153=TRUE,D151&gt;0,D151-(3000*(C137+C138))&lt;0),"Mindestbetrag nicht erreicht!","")</f>
        <v/>
      </c>
      <c r="D155" s="22" t="str">
        <f>IF(AND(C153=TRUE,D151&gt;0,D151-(3000*(C137+C138))&gt;=0,D151-(6000*(C137+C138))&gt;0),3000*(C137+C138),IF(AND(C153=TRUE,D151&gt;0,D151-(3000*(C137+C138))&gt;=0,D151-(6000*(C137+C138))&lt;0),D151-3000*(C137+C138),""))</f>
        <v/>
      </c>
    </row>
    <row r="156" spans="1:5" s="87" customFormat="1" x14ac:dyDescent="0.2">
      <c r="A156" s="84"/>
      <c r="B156" s="84"/>
      <c r="C156" s="85"/>
      <c r="D156" s="86"/>
    </row>
    <row r="157" spans="1:5" x14ac:dyDescent="0.2">
      <c r="A157" s="90" t="str">
        <f>_xlfn.TEXTJOIN(" ", TRUE, "Beiträge total WERDE",B134)</f>
        <v>Beiträge total WERDE</v>
      </c>
      <c r="B157" s="90"/>
      <c r="C157" s="90"/>
      <c r="D157" s="91">
        <f>IF(ISNUMBER(D155)=TRUE,D155+D137+D138+D139+D140,D137+D138+D139+D140)</f>
        <v>0</v>
      </c>
    </row>
    <row r="158" spans="1:5" ht="6.95" customHeight="1" x14ac:dyDescent="0.2">
      <c r="A158" s="19"/>
      <c r="B158" s="19"/>
      <c r="C158" s="19"/>
      <c r="D158" s="19"/>
      <c r="E158" s="19"/>
    </row>
    <row r="159" spans="1:5" ht="6.95" customHeight="1" x14ac:dyDescent="0.2">
      <c r="A159" s="28"/>
      <c r="B159" s="28"/>
      <c r="C159" s="28"/>
      <c r="D159" s="28"/>
      <c r="E159" s="19"/>
    </row>
    <row r="160" spans="1:5" ht="6.95" customHeight="1" x14ac:dyDescent="0.2">
      <c r="A160" s="19"/>
      <c r="B160" s="19"/>
      <c r="C160" s="19"/>
      <c r="D160" s="19"/>
      <c r="E160" s="19"/>
    </row>
    <row r="161" spans="1:4" ht="15.75" thickBot="1" x14ac:dyDescent="0.3">
      <c r="A161" s="88" t="s">
        <v>480</v>
      </c>
      <c r="B161" s="88"/>
      <c r="C161" s="88"/>
      <c r="D161" s="89">
        <f>Berechnung!C24</f>
        <v>0</v>
      </c>
    </row>
    <row r="162" spans="1:4" ht="15" thickTop="1" x14ac:dyDescent="0.2"/>
  </sheetData>
  <sheetProtection sheet="1" objects="1" scenarios="1" selectLockedCells="1"/>
  <mergeCells count="34">
    <mergeCell ref="A147:B147"/>
    <mergeCell ref="A148:B148"/>
    <mergeCell ref="A149:B149"/>
    <mergeCell ref="A150:B150"/>
    <mergeCell ref="A3:D3"/>
    <mergeCell ref="A16:D16"/>
    <mergeCell ref="A5:D5"/>
    <mergeCell ref="A23:D23"/>
    <mergeCell ref="A34:D34"/>
    <mergeCell ref="A89:D89"/>
    <mergeCell ref="A116:D116"/>
    <mergeCell ref="A143:D143"/>
    <mergeCell ref="A146:B146"/>
    <mergeCell ref="A119:B119"/>
    <mergeCell ref="A120:B120"/>
    <mergeCell ref="A121:B121"/>
    <mergeCell ref="A122:B122"/>
    <mergeCell ref="A123:B123"/>
    <mergeCell ref="A92:B92"/>
    <mergeCell ref="A93:B93"/>
    <mergeCell ref="A94:B94"/>
    <mergeCell ref="A95:B95"/>
    <mergeCell ref="A96:B96"/>
    <mergeCell ref="A66:B66"/>
    <mergeCell ref="A67:B67"/>
    <mergeCell ref="A68:B68"/>
    <mergeCell ref="A69:B69"/>
    <mergeCell ref="A62:D62"/>
    <mergeCell ref="A65:B65"/>
    <mergeCell ref="A37:B37"/>
    <mergeCell ref="A38:B38"/>
    <mergeCell ref="A39:B39"/>
    <mergeCell ref="A40:B40"/>
    <mergeCell ref="A41:B41"/>
  </mergeCells>
  <dataValidations disablePrompts="1" count="1">
    <dataValidation type="decimal" allowBlank="1" showInputMessage="1" showErrorMessage="1" sqref="B56:B59 B83:B86 B110:B113 B137:B140 B28:B31" xr:uid="{487D818D-E835-4B1F-B20A-5AB47BF0FA5F}">
      <formula1>0</formula1>
      <formula2>1</formula2>
    </dataValidation>
  </dataValidations>
  <pageMargins left="0.34251968503937008" right="0.39370078740157483" top="1.1811023622047245" bottom="0.59055118110236227" header="0.20472440944881892" footer="0.31496062992125984"/>
  <pageSetup paperSize="9" orientation="portrait" r:id="rId1"/>
  <headerFooter scaleWithDoc="0">
    <oddHeader xml:space="preserve">&amp;L&amp;G&amp;R&amp;8Amt für Wald und Naturgefahren
KS 6.3/2 Förderprogramm «Jungwaldpflege&amp;X+&amp;X»
Version 1.3&amp;11
</oddHeader>
    <oddFooter>&amp;L&amp;7   &amp;C&amp;7   &amp;R&amp;7&amp;P/&amp;N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9525</xdr:colOff>
                    <xdr:row>42</xdr:row>
                    <xdr:rowOff>85725</xdr:rowOff>
                  </from>
                  <to>
                    <xdr:col>0</xdr:col>
                    <xdr:colOff>1343025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42</xdr:row>
                    <xdr:rowOff>123825</xdr:rowOff>
                  </from>
                  <to>
                    <xdr:col>1</xdr:col>
                    <xdr:colOff>1257300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9525</xdr:colOff>
                    <xdr:row>70</xdr:row>
                    <xdr:rowOff>85725</xdr:rowOff>
                  </from>
                  <to>
                    <xdr:col>0</xdr:col>
                    <xdr:colOff>1343025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70</xdr:row>
                    <xdr:rowOff>123825</xdr:rowOff>
                  </from>
                  <to>
                    <xdr:col>1</xdr:col>
                    <xdr:colOff>1257300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9525</xdr:colOff>
                    <xdr:row>97</xdr:row>
                    <xdr:rowOff>85725</xdr:rowOff>
                  </from>
                  <to>
                    <xdr:col>0</xdr:col>
                    <xdr:colOff>1343025</xdr:colOff>
                    <xdr:row>99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97</xdr:row>
                    <xdr:rowOff>123825</xdr:rowOff>
                  </from>
                  <to>
                    <xdr:col>1</xdr:col>
                    <xdr:colOff>1257300</xdr:colOff>
                    <xdr:row>99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9525</xdr:colOff>
                    <xdr:row>124</xdr:row>
                    <xdr:rowOff>85725</xdr:rowOff>
                  </from>
                  <to>
                    <xdr:col>0</xdr:col>
                    <xdr:colOff>1343025</xdr:colOff>
                    <xdr:row>126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124</xdr:row>
                    <xdr:rowOff>123825</xdr:rowOff>
                  </from>
                  <to>
                    <xdr:col>1</xdr:col>
                    <xdr:colOff>1257300</xdr:colOff>
                    <xdr:row>126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9525</xdr:colOff>
                    <xdr:row>151</xdr:row>
                    <xdr:rowOff>85725</xdr:rowOff>
                  </from>
                  <to>
                    <xdr:col>0</xdr:col>
                    <xdr:colOff>1343025</xdr:colOff>
                    <xdr:row>153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151</xdr:row>
                    <xdr:rowOff>123825</xdr:rowOff>
                  </from>
                  <to>
                    <xdr:col>1</xdr:col>
                    <xdr:colOff>1257300</xdr:colOff>
                    <xdr:row>153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3DB50E62-4F44-4483-86C4-9952D53CF07C}">
          <x14:formula1>
            <xm:f>Reviere_WA!$E$4:$E$23</xm:f>
          </x14:formula1>
          <xm:sqref>D12</xm:sqref>
        </x14:dataValidation>
        <x14:dataValidation type="list" allowBlank="1" showInputMessage="1" showErrorMessage="1" xr:uid="{641F9325-978E-45D3-89EC-5BCA074137E9}">
          <x14:formula1>
            <xm:f>Grundlagen!$M$2:$M$4</xm:f>
          </x14:formula1>
          <xm:sqref>D9</xm:sqref>
        </x14:dataValidation>
        <x14:dataValidation type="list" allowBlank="1" showInputMessage="1" showErrorMessage="1" xr:uid="{BFB3E2DE-FF2F-4EDF-951A-3EFFD7D397A1}">
          <x14:formula1>
            <xm:f>Grundlagen!$M$9:$M$12</xm:f>
          </x14:formula1>
          <xm:sqref>B12</xm:sqref>
        </x14:dataValidation>
        <x14:dataValidation type="list" allowBlank="1" showInputMessage="1" showErrorMessage="1" xr:uid="{06CF67D6-CC5E-4F44-A3B6-E2A290C430C6}">
          <x14:formula1>
            <xm:f>Forstfachperson!$C$1:$C$95</xm:f>
          </x14:formula1>
          <xm:sqref>B11</xm:sqref>
        </x14:dataValidation>
        <x14:dataValidation type="list" allowBlank="1" showInputMessage="1" showErrorMessage="1" xr:uid="{33745EDD-D90C-41D2-9908-69A7DDFE0DD2}">
          <x14:formula1>
            <xm:f>Grundlagen!$M$16:$M$18</xm:f>
          </x14:formula1>
          <xm:sqref>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57F77-F42F-4A16-B208-13F90A5A22AA}">
  <dimension ref="A1:F25"/>
  <sheetViews>
    <sheetView view="pageLayout" topLeftCell="A6" zoomScale="150" zoomScaleNormal="100" zoomScalePageLayoutView="150" workbookViewId="0">
      <selection activeCell="A27" sqref="A27"/>
    </sheetView>
  </sheetViews>
  <sheetFormatPr baseColWidth="10" defaultRowHeight="14.25" x14ac:dyDescent="0.2"/>
  <cols>
    <col min="1" max="1" width="11.375" customWidth="1"/>
    <col min="2" max="5" width="11.625" customWidth="1"/>
    <col min="6" max="6" width="26.125" customWidth="1"/>
  </cols>
  <sheetData>
    <row r="1" spans="1:6" ht="23.25" x14ac:dyDescent="0.2">
      <c r="A1" s="29" t="s">
        <v>158</v>
      </c>
    </row>
    <row r="2" spans="1:6" ht="14.1" customHeight="1" x14ac:dyDescent="0.2">
      <c r="A2" s="4"/>
      <c r="B2" s="5"/>
      <c r="C2" s="5"/>
      <c r="D2" s="5"/>
      <c r="E2" s="5"/>
      <c r="F2" s="10" t="s">
        <v>20</v>
      </c>
    </row>
    <row r="3" spans="1:6" ht="14.1" customHeight="1" x14ac:dyDescent="0.2">
      <c r="A3" s="6"/>
      <c r="B3" s="7"/>
      <c r="C3" s="7"/>
      <c r="D3" s="7"/>
      <c r="E3" s="7"/>
      <c r="F3" s="11" t="s">
        <v>21</v>
      </c>
    </row>
    <row r="4" spans="1:6" ht="14.1" customHeight="1" x14ac:dyDescent="0.2">
      <c r="A4" s="6"/>
      <c r="B4" s="7"/>
      <c r="C4" s="7"/>
      <c r="D4" s="7"/>
      <c r="E4" s="7"/>
      <c r="F4" s="11" t="s">
        <v>22</v>
      </c>
    </row>
    <row r="5" spans="1:6" ht="14.1" customHeight="1" x14ac:dyDescent="0.2">
      <c r="A5" s="6"/>
      <c r="B5" s="7"/>
      <c r="C5" s="7"/>
      <c r="D5" s="7"/>
      <c r="E5" s="7"/>
      <c r="F5" s="11" t="s">
        <v>23</v>
      </c>
    </row>
    <row r="6" spans="1:6" ht="14.1" customHeight="1" x14ac:dyDescent="0.2">
      <c r="A6" s="6"/>
      <c r="B6" s="7"/>
      <c r="C6" s="7"/>
      <c r="D6" s="7"/>
      <c r="E6" s="7"/>
      <c r="F6" s="11" t="s">
        <v>24</v>
      </c>
    </row>
    <row r="7" spans="1:6" ht="14.1" customHeight="1" x14ac:dyDescent="0.2">
      <c r="A7" s="6"/>
      <c r="B7" s="7"/>
      <c r="C7" s="7"/>
      <c r="D7" s="7"/>
      <c r="E7" s="7"/>
      <c r="F7" s="11" t="s">
        <v>25</v>
      </c>
    </row>
    <row r="8" spans="1:6" ht="14.45" customHeight="1" x14ac:dyDescent="0.2">
      <c r="A8" s="6"/>
      <c r="B8" s="7"/>
      <c r="C8" s="7"/>
      <c r="D8" s="7"/>
      <c r="E8" s="7"/>
      <c r="F8" s="11" t="str">
        <f>IF(ISTEXT(Eingabe!D12)=TRUE,VLOOKUP(Eingabe!$D$12,Grundlagen!$J$2:$K$60,2,FALSE),"")</f>
        <v/>
      </c>
    </row>
    <row r="9" spans="1:6" ht="14.1" customHeight="1" x14ac:dyDescent="0.2">
      <c r="A9" s="63" t="s">
        <v>26</v>
      </c>
      <c r="B9" s="64"/>
      <c r="C9" s="64"/>
      <c r="D9" s="64"/>
      <c r="E9" s="64"/>
      <c r="F9" s="65"/>
    </row>
    <row r="10" spans="1:6" ht="14.1" customHeight="1" x14ac:dyDescent="0.2">
      <c r="A10" s="3" t="s">
        <v>156</v>
      </c>
      <c r="B10" s="7" t="str">
        <f>IF(ISTEXT(Eingabe!B7)=TRUE,Eingabe!B7,"")</f>
        <v/>
      </c>
      <c r="C10" s="7"/>
      <c r="D10" s="7"/>
      <c r="E10" s="14" t="s">
        <v>11</v>
      </c>
      <c r="F10" s="15" t="str">
        <f>IF(ISTEXT(Eingabe!D7)=TRUE,Eingabe!D7,"")</f>
        <v/>
      </c>
    </row>
    <row r="11" spans="1:6" x14ac:dyDescent="0.2">
      <c r="A11" s="3" t="s">
        <v>157</v>
      </c>
      <c r="B11" s="7" t="str">
        <f>IF(ISTEXT(Eingabe!B8)=TRUE,Eingabe!B8,"")</f>
        <v/>
      </c>
      <c r="C11" s="7"/>
      <c r="D11" s="7"/>
      <c r="E11" s="14" t="s">
        <v>12</v>
      </c>
      <c r="F11" s="15" t="str">
        <f>IF(ISTEXT(Eingabe!D8)=TRUE,Eingabe!D8,"")</f>
        <v/>
      </c>
    </row>
    <row r="12" spans="1:6" x14ac:dyDescent="0.2">
      <c r="A12" s="3" t="s">
        <v>27</v>
      </c>
      <c r="B12" s="7" t="str">
        <f>IF(ISTEXT(Eingabe!B9)=TRUE,Eingabe!B9,"")</f>
        <v/>
      </c>
      <c r="C12" s="7"/>
      <c r="D12" s="7"/>
      <c r="E12" s="14" t="s">
        <v>28</v>
      </c>
      <c r="F12" s="15" t="str">
        <f>IF(ISTEXT(Eingabe!D9)=TRUE,Eingabe!D9,"")</f>
        <v/>
      </c>
    </row>
    <row r="13" spans="1:6" x14ac:dyDescent="0.2">
      <c r="A13" s="66"/>
      <c r="B13" s="67"/>
      <c r="C13" s="67"/>
      <c r="D13" s="67"/>
      <c r="E13" s="67"/>
      <c r="F13" s="68"/>
    </row>
    <row r="14" spans="1:6" ht="14.1" customHeight="1" x14ac:dyDescent="0.2">
      <c r="A14" s="16" t="s">
        <v>19</v>
      </c>
      <c r="B14" s="70" t="str">
        <f>IF(ISTEXT(Eingabe!B14)=TRUE,Eingabe!B14,"")</f>
        <v/>
      </c>
      <c r="C14" s="70"/>
      <c r="D14" s="70"/>
      <c r="E14" s="70"/>
      <c r="F14" s="71"/>
    </row>
    <row r="15" spans="1:6" ht="14.1" customHeight="1" x14ac:dyDescent="0.2">
      <c r="A15" s="16" t="s">
        <v>18</v>
      </c>
      <c r="B15" s="70" t="str">
        <f>IF(ISTEXT(Eingabe!D14)=TRUE,Eingabe!D14,"")</f>
        <v/>
      </c>
      <c r="C15" s="70"/>
      <c r="D15" s="70"/>
      <c r="E15" s="70"/>
      <c r="F15" s="71"/>
    </row>
    <row r="16" spans="1:6" ht="14.1" customHeight="1" x14ac:dyDescent="0.2">
      <c r="A16" s="60"/>
      <c r="B16" s="61"/>
      <c r="C16" s="61"/>
      <c r="D16" s="61"/>
      <c r="E16" s="61"/>
      <c r="F16" s="62"/>
    </row>
    <row r="17" spans="1:6" x14ac:dyDescent="0.2">
      <c r="A17" s="60"/>
      <c r="B17" s="61"/>
      <c r="C17" s="61"/>
      <c r="D17" s="61"/>
      <c r="E17" s="61"/>
      <c r="F17" s="62"/>
    </row>
    <row r="18" spans="1:6" ht="14.1" customHeight="1" x14ac:dyDescent="0.2">
      <c r="A18" s="63" t="s">
        <v>29</v>
      </c>
      <c r="B18" s="64"/>
      <c r="C18" s="64"/>
      <c r="D18" s="64"/>
      <c r="E18" s="64"/>
      <c r="F18" s="65"/>
    </row>
    <row r="19" spans="1:6" ht="14.1" customHeight="1" x14ac:dyDescent="0.2">
      <c r="A19" s="6" t="s">
        <v>30</v>
      </c>
      <c r="B19" s="7"/>
      <c r="C19" s="69" t="str">
        <f>IF(AND(Berechnung!C24&gt;0,ISTEXT(Eingabe!D12)=TRUE,ISTEXT(Eingabe!D9)=TRUE),Berechnung!C24,"")</f>
        <v/>
      </c>
      <c r="D19" s="69"/>
      <c r="E19" s="7" t="s">
        <v>31</v>
      </c>
      <c r="F19" s="17">
        <f ca="1">IF($C$19&gt;0,TODAY(),"")</f>
        <v>46303</v>
      </c>
    </row>
    <row r="20" spans="1:6" ht="14.45" customHeight="1" x14ac:dyDescent="0.2">
      <c r="A20" s="60" t="s">
        <v>32</v>
      </c>
      <c r="B20" s="61"/>
      <c r="C20" s="61" t="str">
        <f>IF(C19&gt;0,_xlfn.TEXTJOIN(" ",TRUE,"Auszahlung Projekt-ID: ",_xlfn.TEXTJOIN("; ",TRUE,Eingabe!B19:D19,Eingabe!B25,Eingabe!B53,Eingabe!B80,Eingabe!B107,Eingabe!B134),""))</f>
        <v xml:space="preserve">Auszahlung Projekt-ID: </v>
      </c>
      <c r="D20" s="61"/>
      <c r="E20" s="61"/>
      <c r="F20" s="62"/>
    </row>
    <row r="21" spans="1:6" x14ac:dyDescent="0.2">
      <c r="A21" s="66"/>
      <c r="B21" s="67"/>
      <c r="C21" s="67"/>
      <c r="D21" s="67"/>
      <c r="E21" s="67"/>
      <c r="F21" s="68"/>
    </row>
    <row r="22" spans="1:6" ht="14.1" customHeight="1" x14ac:dyDescent="0.2">
      <c r="A22" s="63" t="s">
        <v>33</v>
      </c>
      <c r="B22" s="64"/>
      <c r="C22" s="64"/>
      <c r="D22" s="64"/>
      <c r="E22" s="64"/>
      <c r="F22" s="65"/>
    </row>
    <row r="23" spans="1:6" ht="14.45" customHeight="1" x14ac:dyDescent="0.2">
      <c r="A23" s="72" t="str">
        <f>IF(AND($C$19&gt;0,ISTEXT($F$8)=TRUE,Berechnung!C25&lt;&gt;0,ISTEXT(Eingabe!D12)=TRUE,ISTEXT(Eingabe!D9)=TRUE),VLOOKUP($F$8,Grundlagen!$A$2:$B$9,2,FALSE),"")</f>
        <v/>
      </c>
      <c r="B23" s="73"/>
      <c r="C23" s="8"/>
      <c r="D23" s="14" t="str">
        <f>IF(AND($C$19&gt;0,Berechnung!C25&lt;&gt;0,ISTEXT(Eingabe!D12)=TRUE,ISTEXT(Eingabe!D9)=TRUE),VLOOKUP(Eingabe!$D$9,Grundlagen!$M$2:$O$4,2,FALSE),"")</f>
        <v/>
      </c>
      <c r="E23" s="8"/>
      <c r="F23" s="33" t="str">
        <f>IF(AND($C$19&gt;0,ISTEXT($F$8)=TRUE,Berechnung!C25&lt;&gt;0,ISTEXT(Eingabe!D12)=TRUE,ISTEXT(Eingabe!D9)=TRUE),Berechnung!C25,"")</f>
        <v/>
      </c>
    </row>
    <row r="24" spans="1:6" ht="14.45" customHeight="1" x14ac:dyDescent="0.2">
      <c r="A24" s="72" t="str">
        <f>IF(AND($C$19&gt;0,ISTEXT($F$8)=TRUE,Berechnung!C26&gt;0,ISTEXT(Eingabe!D12)=TRUE,ISTEXT(Eingabe!D9)=TRUE),VLOOKUP($F$8,Grundlagen!$A$2:$B$9,2,FALSE),"")</f>
        <v/>
      </c>
      <c r="B24" s="73"/>
      <c r="C24" s="14"/>
      <c r="D24" s="14" t="str">
        <f>IF(AND($C$19&gt;0,Berechnung!C26&gt;0,ISTEXT(Eingabe!D12)=TRUE,ISTEXT(Eingabe!D9)=TRUE),VLOOKUP(Eingabe!$D$9,Grundlagen!$M$2:$O$4,3,FALSE),"")</f>
        <v/>
      </c>
      <c r="E24" s="7"/>
      <c r="F24" s="33" t="str">
        <f>IF(AND($C$19&gt;0,ISTEXT($F$8)=TRUE,Berechnung!C26&gt;0,ISTEXT(Eingabe!D12)=TRUE,ISTEXT(Eingabe!D9)=TRUE),Berechnung!C26,"")</f>
        <v/>
      </c>
    </row>
    <row r="25" spans="1:6" ht="14.45" customHeight="1" x14ac:dyDescent="0.2">
      <c r="A25" s="74" t="str">
        <f>IF(AND($C$19&gt;0,ISTEXT($F$8)=TRUE,Berechnung!C27&gt;0,ISTEXT(Eingabe!D12)=TRUE,ISTEXT(Eingabe!D9)=TRUE),VLOOKUP($F$8,Grundlagen!$A$18:$F$25,2,FALSE),"")</f>
        <v/>
      </c>
      <c r="B25" s="75"/>
      <c r="C25" s="34"/>
      <c r="D25" s="34" t="str">
        <f>IF(AND($C$19&gt;0,Berechnung!C27&gt;0,ISTEXT(Eingabe!D12)=TRUE,ISTEXT(Eingabe!D9)=TRUE),VLOOKUP(Eingabe!$D$9,Grundlagen!$M$2:$N$4,2,FALSE),"")</f>
        <v/>
      </c>
      <c r="E25" s="9"/>
      <c r="F25" s="35" t="str">
        <f>IF(AND($C$19&gt;0,ISTEXT($F$8)=TRUE,Berechnung!C27&gt;0,ISTEXT(Eingabe!D12)=TRUE,ISTEXT(Eingabe!D9)=TRUE),Berechnung!C27,"")</f>
        <v/>
      </c>
    </row>
  </sheetData>
  <sheetProtection sheet="1" objects="1" scenarios="1" selectLockedCells="1"/>
  <mergeCells count="16">
    <mergeCell ref="A23:B23"/>
    <mergeCell ref="A24:B24"/>
    <mergeCell ref="A25:B25"/>
    <mergeCell ref="A17:F17"/>
    <mergeCell ref="A18:F18"/>
    <mergeCell ref="A20:B20"/>
    <mergeCell ref="C20:F20"/>
    <mergeCell ref="A22:F22"/>
    <mergeCell ref="A16:B16"/>
    <mergeCell ref="C16:F16"/>
    <mergeCell ref="A9:F9"/>
    <mergeCell ref="A21:F21"/>
    <mergeCell ref="A13:F13"/>
    <mergeCell ref="C19:D19"/>
    <mergeCell ref="B14:F14"/>
    <mergeCell ref="B15:F15"/>
  </mergeCells>
  <pageMargins left="0.34251968503937008" right="0.39370078740157483" top="1.1811023622047245" bottom="0.59055118110236227" header="0.20472440944881892" footer="0.31496062992125984"/>
  <pageSetup paperSize="9" orientation="portrait" r:id="rId1"/>
  <headerFooter scaleWithDoc="0">
    <oddHeader>&amp;L&amp;G</oddHeader>
    <oddFooter>&amp;L&amp;7   &amp;C&amp;7   &amp;R&amp;7&amp;P/&amp;N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9DDC-C70B-4806-B49E-E01F1F381ECF}">
  <dimension ref="B1:H47"/>
  <sheetViews>
    <sheetView view="pageLayout" zoomScale="120" zoomScaleNormal="100" zoomScalePageLayoutView="120" workbookViewId="0">
      <selection activeCell="F13" sqref="F13"/>
    </sheetView>
  </sheetViews>
  <sheetFormatPr baseColWidth="10" defaultRowHeight="14.25" x14ac:dyDescent="0.2"/>
  <cols>
    <col min="1" max="1" width="7" customWidth="1"/>
    <col min="2" max="4" width="11.625" customWidth="1"/>
    <col min="5" max="5" width="5.875" customWidth="1"/>
    <col min="6" max="6" width="16.125" customWidth="1"/>
    <col min="8" max="8" width="13.125" customWidth="1"/>
    <col min="9" max="9" width="11" customWidth="1"/>
  </cols>
  <sheetData>
    <row r="1" spans="2:8" x14ac:dyDescent="0.2">
      <c r="B1" s="46" t="s">
        <v>416</v>
      </c>
    </row>
    <row r="2" spans="2:8" x14ac:dyDescent="0.2">
      <c r="B2" s="46" t="s">
        <v>417</v>
      </c>
    </row>
    <row r="3" spans="2:8" x14ac:dyDescent="0.2">
      <c r="B3" s="46" t="str">
        <f>IF(Berechnung!$C$24&gt;0,VLOOKUP(Subventionsantrag!$F$8,Briefkopf!$A$2:$J$9,2,FALSE),"")</f>
        <v/>
      </c>
    </row>
    <row r="4" spans="2:8" x14ac:dyDescent="0.2">
      <c r="B4" s="46"/>
    </row>
    <row r="5" spans="2:8" ht="14.45" customHeight="1" thickBot="1" x14ac:dyDescent="0.25">
      <c r="B5" s="46" t="str">
        <f>IF(Berechnung!$C$24&gt;0,VLOOKUP(Subventionsantrag!$F$8,Briefkopf!$A$2:$J$9,3,FALSE),"")</f>
        <v/>
      </c>
      <c r="F5" s="79" t="str">
        <f>IF(Berechnung!$C$24&gt;0,VLOOKUP(Subventionsantrag!$F$8,Briefkopf!$A$2:$K$9,11,FALSE),"")</f>
        <v/>
      </c>
      <c r="G5" s="79"/>
      <c r="H5" s="79"/>
    </row>
    <row r="6" spans="2:8" ht="15" thickTop="1" x14ac:dyDescent="0.2">
      <c r="B6" s="46" t="str">
        <f>IF(Berechnung!$C$24&gt;0,VLOOKUP(Subventionsantrag!$F$8,Briefkopf!$A$2:$J$9,4,FALSE),"")</f>
        <v/>
      </c>
      <c r="F6" s="80" t="str">
        <f>IF(ISTEXT(Eingabe!B7)=TRUE,Eingabe!B7,"")</f>
        <v/>
      </c>
      <c r="G6" s="80"/>
      <c r="H6" s="80"/>
    </row>
    <row r="7" spans="2:8" x14ac:dyDescent="0.2">
      <c r="B7" s="46" t="str">
        <f>IF(Berechnung!$C$24&gt;0,VLOOKUP(Subventionsantrag!$F$8,Briefkopf!$A$2:$J$9,5,FALSE),"")</f>
        <v/>
      </c>
      <c r="F7" s="81" t="str">
        <f>IF(ISTEXT(Eingabe!B8)=TRUE,Eingabe!B8,"")</f>
        <v/>
      </c>
      <c r="G7" s="81"/>
      <c r="H7" s="81"/>
    </row>
    <row r="8" spans="2:8" x14ac:dyDescent="0.2">
      <c r="B8" s="46" t="str">
        <f>IF(Berechnung!$C$24&gt;0,VLOOKUP(Subventionsantrag!$F$8,Briefkopf!$A$2:$J$9,6,FALSE),"")</f>
        <v/>
      </c>
      <c r="F8" s="81" t="str">
        <f>IF(ISTEXT(Eingabe!B9)=TRUE,Eingabe!B9,"")</f>
        <v/>
      </c>
      <c r="G8" s="81"/>
      <c r="H8" s="81"/>
    </row>
    <row r="9" spans="2:8" x14ac:dyDescent="0.2">
      <c r="B9" s="46" t="s">
        <v>470</v>
      </c>
      <c r="F9" s="47"/>
    </row>
    <row r="10" spans="2:8" x14ac:dyDescent="0.2">
      <c r="B10" s="46"/>
    </row>
    <row r="11" spans="2:8" x14ac:dyDescent="0.2">
      <c r="B11" s="46" t="str">
        <f>_xlfn.TEXTJOIN(" ",TRUE,IF(Berechnung!$C$24&gt;0,VLOOKUP(Subventionsantrag!$F$8,Briefkopf!$A$2:$J$9,7,FALSE),""),IF(Berechnung!$C$24&gt;0,VLOOKUP(Subventionsantrag!$F$8,Briefkopf!$A$2:$J$9,8,FALSE),""))</f>
        <v/>
      </c>
    </row>
    <row r="12" spans="2:8" x14ac:dyDescent="0.2">
      <c r="B12" s="46" t="str">
        <f>IF(Berechnung!$C$24&gt;0,VLOOKUP(Subventionsantrag!$F$8,Briefkopf!$A$2:$J$9,9,FALSE),"")</f>
        <v/>
      </c>
    </row>
    <row r="13" spans="2:8" x14ac:dyDescent="0.2">
      <c r="B13" s="46" t="str">
        <f>IF(Berechnung!$C$24&gt;0,VLOOKUP(Subventionsantrag!$F$8,Briefkopf!$A$2:$J$9,10,FALSE),"")</f>
        <v/>
      </c>
    </row>
    <row r="14" spans="2:8" x14ac:dyDescent="0.2">
      <c r="H14" s="48">
        <f ca="1">TODAY()</f>
        <v>46303</v>
      </c>
    </row>
    <row r="17" spans="2:8" ht="15.75" x14ac:dyDescent="0.2">
      <c r="B17" s="49" t="s">
        <v>418</v>
      </c>
    </row>
    <row r="18" spans="2:8" x14ac:dyDescent="0.2">
      <c r="B18" s="50"/>
    </row>
    <row r="19" spans="2:8" x14ac:dyDescent="0.2">
      <c r="B19" s="52" t="s">
        <v>419</v>
      </c>
    </row>
    <row r="20" spans="2:8" x14ac:dyDescent="0.2">
      <c r="B20" s="51"/>
    </row>
    <row r="21" spans="2:8" x14ac:dyDescent="0.2">
      <c r="B21" s="76" t="s">
        <v>472</v>
      </c>
      <c r="C21" s="76"/>
      <c r="D21" s="76"/>
      <c r="E21" s="76"/>
      <c r="F21" s="76"/>
      <c r="G21" s="76"/>
      <c r="H21" s="76"/>
    </row>
    <row r="22" spans="2:8" x14ac:dyDescent="0.2">
      <c r="B22" s="76" t="str">
        <f>_xlfn.TEXTJOIN(" ",TRUE,"von",TEXT(Berechnung!C24,"CHF # ##0.00"),"wird Ihnen innerhalb der nächsten sechs Wochen auf das Konto")</f>
        <v>von CHF  0.00 wird Ihnen innerhalb der nächsten sechs Wochen auf das Konto</v>
      </c>
      <c r="C22" s="76"/>
      <c r="D22" s="76"/>
      <c r="E22" s="76"/>
      <c r="F22" s="76"/>
      <c r="G22" s="76"/>
      <c r="H22" s="76"/>
    </row>
    <row r="23" spans="2:8" x14ac:dyDescent="0.2">
      <c r="B23" s="76" t="str">
        <f>_xlfn.TEXTJOIN(" ",TRUE,Eingabe!D14,"von",Eingabe!B14,"überwiesen.")</f>
        <v>von überwiesen.</v>
      </c>
      <c r="C23" s="76"/>
      <c r="D23" s="76"/>
      <c r="E23" s="76"/>
      <c r="F23" s="76"/>
      <c r="G23" s="76"/>
      <c r="H23" s="76"/>
    </row>
    <row r="26" spans="2:8" x14ac:dyDescent="0.2">
      <c r="B26" s="76" t="s">
        <v>434</v>
      </c>
      <c r="C26" s="76"/>
      <c r="D26" s="76"/>
      <c r="E26" s="76"/>
      <c r="F26" s="76"/>
      <c r="G26" s="83" t="str">
        <f>_xlfn.TEXTJOIN(", ",TRUE,Eingabe!B19,Eingabe!C19,Eingabe!D19,Eingabe!B25,Eingabe!B53,Eingabe!B80,Eingabe!B107,Eingabe!B134)</f>
        <v/>
      </c>
      <c r="H26" s="83"/>
    </row>
    <row r="29" spans="2:8" x14ac:dyDescent="0.2">
      <c r="B29" s="76" t="s">
        <v>471</v>
      </c>
      <c r="C29" s="76"/>
      <c r="D29" s="76"/>
      <c r="E29" s="76"/>
      <c r="F29" s="76"/>
      <c r="G29" s="76"/>
      <c r="H29" s="76"/>
    </row>
    <row r="30" spans="2:8" x14ac:dyDescent="0.2">
      <c r="B30" s="76" t="s">
        <v>475</v>
      </c>
      <c r="C30" s="76"/>
      <c r="D30" s="76"/>
      <c r="E30" s="76"/>
      <c r="F30" s="76"/>
      <c r="G30" s="76"/>
      <c r="H30" s="76"/>
    </row>
    <row r="31" spans="2:8" x14ac:dyDescent="0.2">
      <c r="B31" s="76" t="s">
        <v>476</v>
      </c>
      <c r="C31" s="76"/>
      <c r="D31" s="76"/>
      <c r="E31" s="76"/>
      <c r="F31" s="76"/>
      <c r="G31" s="76"/>
      <c r="H31" s="76"/>
    </row>
    <row r="32" spans="2:8" x14ac:dyDescent="0.2">
      <c r="B32" s="76" t="s">
        <v>477</v>
      </c>
      <c r="C32" s="76"/>
      <c r="D32" s="76"/>
      <c r="E32" s="76"/>
      <c r="F32" s="76"/>
      <c r="G32" s="76"/>
      <c r="H32" s="76"/>
    </row>
    <row r="34" spans="2:8" x14ac:dyDescent="0.2">
      <c r="B34" s="56" t="s">
        <v>473</v>
      </c>
      <c r="C34" s="56"/>
      <c r="D34" s="56"/>
      <c r="E34" s="56"/>
      <c r="F34" s="56"/>
      <c r="G34" s="56"/>
      <c r="H34" s="56"/>
    </row>
    <row r="39" spans="2:8" x14ac:dyDescent="0.2">
      <c r="F39" s="82" t="s">
        <v>420</v>
      </c>
      <c r="G39" s="82"/>
      <c r="H39" s="82"/>
    </row>
    <row r="41" spans="2:8" x14ac:dyDescent="0.2">
      <c r="F41" s="78" t="str">
        <f>IF(Berechnung!$C$24&gt;0,VLOOKUP(Subventionsantrag!$F$8,Briefkopf!$A$2:$J$9,2,FALSE),"")</f>
        <v/>
      </c>
      <c r="G41" s="78"/>
      <c r="H41" s="78"/>
    </row>
    <row r="42" spans="2:8" x14ac:dyDescent="0.2">
      <c r="B42" s="53"/>
      <c r="F42" s="54"/>
    </row>
    <row r="43" spans="2:8" x14ac:dyDescent="0.2">
      <c r="B43" s="50"/>
      <c r="F43" s="54"/>
    </row>
    <row r="44" spans="2:8" x14ac:dyDescent="0.2">
      <c r="F44" s="54"/>
    </row>
    <row r="45" spans="2:8" ht="14.25" customHeight="1" x14ac:dyDescent="0.2">
      <c r="F45" s="54"/>
    </row>
    <row r="46" spans="2:8" x14ac:dyDescent="0.2">
      <c r="F46" s="77" t="str">
        <f>_xlfn.TEXTJOIN(" ",TRUE,IF(Berechnung!$C$24&gt;0,VLOOKUP(Subventionsantrag!$F$8,Briefkopf!$A$2:$J$9,7,FALSE),""),IF(Berechnung!$C$24&gt;0,VLOOKUP(Subventionsantrag!$F$8,Briefkopf!$A$2:$J$9,8,FALSE),""))</f>
        <v/>
      </c>
      <c r="G46" s="77"/>
      <c r="H46" s="77"/>
    </row>
    <row r="47" spans="2:8" x14ac:dyDescent="0.2">
      <c r="F47" s="77" t="str">
        <f>IF(Berechnung!$C$24&gt;0,VLOOKUP(Subventionsantrag!$F$8,Briefkopf!$A$2:$L$9,12,FALSE),"")</f>
        <v/>
      </c>
      <c r="G47" s="77"/>
      <c r="H47" s="77"/>
    </row>
  </sheetData>
  <sheetProtection sheet="1" objects="1" scenarios="1" selectLockedCells="1"/>
  <mergeCells count="18">
    <mergeCell ref="B30:H30"/>
    <mergeCell ref="F39:H39"/>
    <mergeCell ref="B34:H34"/>
    <mergeCell ref="B22:H22"/>
    <mergeCell ref="B23:H23"/>
    <mergeCell ref="B26:F26"/>
    <mergeCell ref="G26:H26"/>
    <mergeCell ref="B29:H29"/>
    <mergeCell ref="F5:H5"/>
    <mergeCell ref="F6:H6"/>
    <mergeCell ref="F7:H7"/>
    <mergeCell ref="F8:H8"/>
    <mergeCell ref="B21:H21"/>
    <mergeCell ref="B31:H31"/>
    <mergeCell ref="B32:H32"/>
    <mergeCell ref="F46:H46"/>
    <mergeCell ref="F47:H47"/>
    <mergeCell ref="F41:H41"/>
  </mergeCells>
  <pageMargins left="0.34251968503937008" right="0.39370078740157483" top="1.1811023622047245" bottom="0.59055118110236227" header="0.20472440944881892" footer="0.31496062992125984"/>
  <pageSetup paperSize="9" orientation="portrait" r:id="rId1"/>
  <headerFooter scaleWithDoc="0">
    <oddHeader>&amp;L&amp;G</oddHeader>
    <oddFooter xml:space="preserve">&amp;L&amp;7   &amp;C&amp;7   &amp;R&amp;8&amp;P/&amp;N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E376-EDD4-49E3-AD63-B86E3C7C7E48}">
  <dimension ref="A1:H27"/>
  <sheetViews>
    <sheetView workbookViewId="0">
      <selection activeCell="F20" sqref="F20"/>
    </sheetView>
  </sheetViews>
  <sheetFormatPr baseColWidth="10" defaultRowHeight="14.25" x14ac:dyDescent="0.2"/>
  <cols>
    <col min="3" max="3" width="12.625" bestFit="1" customWidth="1"/>
    <col min="4" max="4" width="13.375" bestFit="1" customWidth="1"/>
  </cols>
  <sheetData>
    <row r="1" spans="1:5" x14ac:dyDescent="0.2">
      <c r="A1" t="s">
        <v>159</v>
      </c>
    </row>
    <row r="2" spans="1:5" x14ac:dyDescent="0.2">
      <c r="A2" t="s">
        <v>392</v>
      </c>
      <c r="B2" t="s">
        <v>164</v>
      </c>
      <c r="C2" t="s">
        <v>165</v>
      </c>
      <c r="D2" t="s">
        <v>398</v>
      </c>
    </row>
    <row r="3" spans="1:5" x14ac:dyDescent="0.2">
      <c r="A3">
        <f>SUM(Eingabe!B20:D20)</f>
        <v>0</v>
      </c>
      <c r="B3">
        <f>SUM(Eingabe!B21:D21)</f>
        <v>0</v>
      </c>
      <c r="C3">
        <f>VLOOKUP($A$1,Grundlagen!$A$13:$C$15,3,FALSE)*A3</f>
        <v>0</v>
      </c>
      <c r="D3">
        <f>B3-C3</f>
        <v>0</v>
      </c>
      <c r="E3" t="s">
        <v>393</v>
      </c>
    </row>
    <row r="5" spans="1:5" x14ac:dyDescent="0.2">
      <c r="A5" t="s">
        <v>149</v>
      </c>
    </row>
    <row r="6" spans="1:5" x14ac:dyDescent="0.2">
      <c r="A6" t="s">
        <v>392</v>
      </c>
      <c r="B6" t="s">
        <v>164</v>
      </c>
      <c r="C6" t="s">
        <v>165</v>
      </c>
      <c r="D6" t="s">
        <v>398</v>
      </c>
    </row>
    <row r="7" spans="1:5" x14ac:dyDescent="0.2">
      <c r="A7" s="32">
        <f>SUM(Eingabe!C28,Eingabe!C56,Eingabe!C83,Eingabe!C110,Eingabe!C137)</f>
        <v>0</v>
      </c>
      <c r="B7" s="32">
        <f>SUM(Eingabe!D28,Eingabe!D56,Eingabe!D83,Eingabe!D110,Eingabe!D137)</f>
        <v>0</v>
      </c>
      <c r="C7">
        <f>VLOOKUP($A$5,Grundlagen!$A$13:$C$15,3,FALSE)*A7</f>
        <v>0</v>
      </c>
      <c r="D7">
        <f>B7-C7</f>
        <v>0</v>
      </c>
      <c r="E7" t="s">
        <v>393</v>
      </c>
    </row>
    <row r="8" spans="1:5" x14ac:dyDescent="0.2">
      <c r="A8" s="32">
        <f>SUM(Eingabe!C29,Eingabe!C57,Eingabe!C84,Eingabe!C111,Eingabe!C138)</f>
        <v>0</v>
      </c>
      <c r="B8" s="32">
        <f>SUM(Eingabe!D29,Eingabe!D57,Eingabe!D84,Eingabe!D111,Eingabe!D138)</f>
        <v>0</v>
      </c>
      <c r="C8">
        <f>VLOOKUP($A$5,Grundlagen!$A$13:$C$15,3,FALSE)*A8</f>
        <v>0</v>
      </c>
      <c r="D8">
        <f>B8-C8</f>
        <v>0</v>
      </c>
      <c r="E8" t="s">
        <v>394</v>
      </c>
    </row>
    <row r="11" spans="1:5" x14ac:dyDescent="0.2">
      <c r="A11" t="s">
        <v>150</v>
      </c>
    </row>
    <row r="12" spans="1:5" x14ac:dyDescent="0.2">
      <c r="A12" t="s">
        <v>392</v>
      </c>
      <c r="B12" t="s">
        <v>164</v>
      </c>
      <c r="C12" t="s">
        <v>165</v>
      </c>
      <c r="D12" t="s">
        <v>398</v>
      </c>
    </row>
    <row r="13" spans="1:5" x14ac:dyDescent="0.2">
      <c r="A13" s="32">
        <f>SUM(Eingabe!C30,Eingabe!C58,Eingabe!C85,Eingabe!C112,Eingabe!C139)</f>
        <v>0</v>
      </c>
      <c r="B13" s="32">
        <f>SUM(Eingabe!D30,Eingabe!D58,Eingabe!D85,Eingabe!D112,Eingabe!D139)</f>
        <v>0</v>
      </c>
      <c r="C13">
        <f>VLOOKUP($A$11,Grundlagen!$A$13:$C$15,3,FALSE)*A13</f>
        <v>0</v>
      </c>
      <c r="D13">
        <f>B13-C13</f>
        <v>0</v>
      </c>
      <c r="E13" t="s">
        <v>395</v>
      </c>
    </row>
    <row r="14" spans="1:5" x14ac:dyDescent="0.2">
      <c r="A14" s="32">
        <f>SUM(Eingabe!C31,Eingabe!C59,Eingabe!C86,Eingabe!C113,Eingabe!C140)</f>
        <v>0</v>
      </c>
      <c r="B14" s="32">
        <f>SUM(Eingabe!D31,Eingabe!D59,Eingabe!D86,Eingabe!D113,Eingabe!D140)</f>
        <v>0</v>
      </c>
      <c r="C14">
        <f>VLOOKUP($A$11,Grundlagen!$A$13:$C$15,3,FALSE)*A14</f>
        <v>0</v>
      </c>
      <c r="D14">
        <f>B14-C14</f>
        <v>0</v>
      </c>
      <c r="E14" t="s">
        <v>396</v>
      </c>
    </row>
    <row r="17" spans="1:8" x14ac:dyDescent="0.2">
      <c r="A17" t="s">
        <v>397</v>
      </c>
      <c r="G17" t="s">
        <v>410</v>
      </c>
      <c r="H17">
        <f>IF(AND(Eingabe!C44=TRUE,Eingabe!D42&gt;(Eingabe!C28+Eingabe!C29)*6000),(Eingabe!C28+Eingabe!C29)*6000,IF(AND(Eingabe!C44=TRUE,Eingabe!D42&lt;=(Eingabe!C28+Eingabe!C29)*6000),Eingabe!D42,IF(AND(Eingabe!C44=FALSE,Eingabe!D42&gt;(Eingabe!C28+Eingabe!C29)*3000),(Eingabe!C28+Eingabe!C29)*3000,IF(AND(Eingabe!C44=FALSE,Eingabe!D42&lt;=(Eingabe!C28+Eingabe!C29)*3000),Eingabe!D42))))</f>
        <v>0</v>
      </c>
    </row>
    <row r="18" spans="1:8" x14ac:dyDescent="0.2">
      <c r="G18" t="s">
        <v>411</v>
      </c>
      <c r="H18">
        <f>IF(AND(Eingabe!C72=TRUE,Eingabe!D70&gt;(Eingabe!C56+Eingabe!C57)*6000),(Eingabe!C56+Eingabe!C57)*6000,IF(AND(Eingabe!C72=TRUE,Eingabe!D70&lt;=(Eingabe!C56+Eingabe!C57)*6000),Eingabe!D70,IF(AND(Eingabe!C72=FALSE,Eingabe!D70&gt;(Eingabe!C56+Eingabe!C57)*3000),(Eingabe!C56+Eingabe!C57)*3000,IF(AND(Eingabe!C72=FALSE,Eingabe!D70&lt;=(Eingabe!C56+Eingabe!C57)*3000),Eingabe!D70))))</f>
        <v>0</v>
      </c>
    </row>
    <row r="19" spans="1:8" x14ac:dyDescent="0.2">
      <c r="A19" t="s">
        <v>398</v>
      </c>
      <c r="B19" t="s">
        <v>164</v>
      </c>
      <c r="G19" t="s">
        <v>412</v>
      </c>
      <c r="H19">
        <f>IF(AND(Eingabe!C99=TRUE,Eingabe!D97&gt;(Eingabe!C83+Eingabe!C84)*6000),(Eingabe!C83+Eingabe!C84)*6000,IF(AND(Eingabe!C99=TRUE,Eingabe!D97&lt;=(Eingabe!C83+Eingabe!C84)*6000),Eingabe!D97,IF(AND(Eingabe!C99=FALSE,Eingabe!D97&gt;(Eingabe!C83+Eingabe!C84)*3000),(Eingabe!C83+Eingabe!C84)*3000,IF(AND(Eingabe!C99=FALSE,Eingabe!D97&lt;=(Eingabe!C83+Eingabe!C84)*3000),Eingabe!D97))))</f>
        <v>0</v>
      </c>
    </row>
    <row r="20" spans="1:8" x14ac:dyDescent="0.2">
      <c r="A20">
        <f>SUM(H17:H21)</f>
        <v>0</v>
      </c>
      <c r="B20">
        <f>SUM(Eingabe!D46,Eingabe!D74,Eingabe!D101,Eingabe!D128,Eingabe!D155)</f>
        <v>0</v>
      </c>
      <c r="G20" t="s">
        <v>413</v>
      </c>
      <c r="H20">
        <f>IF(AND(Eingabe!C126=TRUE,Eingabe!D124&gt;(Eingabe!C110+Eingabe!C111)*6000),(Eingabe!C110+Eingabe!C111)*6000,IF(AND(Eingabe!C126=TRUE,Eingabe!D124&lt;=(Eingabe!C110+Eingabe!C111)*6000),Eingabe!D124,IF(AND(Eingabe!C126=FALSE,Eingabe!D124&gt;(Eingabe!C110+Eingabe!C111)*3000),(Eingabe!C110+Eingabe!C111)*3000,IF(AND(Eingabe!C126=FALSE,Eingabe!D124&lt;=(Eingabe!C110+Eingabe!C111)*3000),Eingabe!D124))))</f>
        <v>0</v>
      </c>
    </row>
    <row r="21" spans="1:8" x14ac:dyDescent="0.2">
      <c r="G21" t="s">
        <v>414</v>
      </c>
      <c r="H21">
        <f>IF(AND(Eingabe!C153=TRUE,Eingabe!D151&gt;(Eingabe!C137+Eingabe!C138)*6000),(Eingabe!C137+Eingabe!C138)*6000,IF(AND(Eingabe!C153=TRUE,Eingabe!D151&lt;=(Eingabe!C137+Eingabe!C138)*6000),Eingabe!D151,IF(AND(Eingabe!C153=FALSE,Eingabe!D151&gt;(Eingabe!C137+Eingabe!C138)*3000),(Eingabe!C137+Eingabe!C138)*3000,IF(AND(Eingabe!C153=FALSE,Eingabe!D151&lt;=(Eingabe!C137+Eingabe!C138)*3000),Eingabe!D151))))</f>
        <v>0</v>
      </c>
    </row>
    <row r="24" spans="1:8" x14ac:dyDescent="0.2">
      <c r="A24" t="s">
        <v>399</v>
      </c>
      <c r="C24" s="32">
        <f>SUM(B20,B14,B13,B8,B7,B3)</f>
        <v>0</v>
      </c>
    </row>
    <row r="25" spans="1:8" x14ac:dyDescent="0.2">
      <c r="A25" t="s">
        <v>400</v>
      </c>
      <c r="C25" s="32">
        <f>C24-(C26+C27)</f>
        <v>0</v>
      </c>
    </row>
    <row r="26" spans="1:8" x14ac:dyDescent="0.2">
      <c r="A26" t="s">
        <v>165</v>
      </c>
      <c r="C26">
        <f>SUM(C3,C7,C8,C13,C14)</f>
        <v>0</v>
      </c>
    </row>
    <row r="27" spans="1:8" x14ac:dyDescent="0.2">
      <c r="A27" t="s">
        <v>401</v>
      </c>
      <c r="C27">
        <f>A20</f>
        <v>0</v>
      </c>
    </row>
  </sheetData>
  <sheetProtection sheet="1" objects="1" scenarios="1" selectLockedCells="1" selectUnlockedCells="1"/>
  <phoneticPr fontId="34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7EF53-60F6-4498-9580-8F0508427AFD}">
  <dimension ref="A2:O60"/>
  <sheetViews>
    <sheetView view="pageLayout" zoomScale="120" zoomScaleNormal="100" zoomScalePageLayoutView="120" workbookViewId="0">
      <selection activeCell="G43" sqref="G43:G47"/>
    </sheetView>
  </sheetViews>
  <sheetFormatPr baseColWidth="10" defaultRowHeight="14.25" x14ac:dyDescent="0.2"/>
  <cols>
    <col min="1" max="1" width="18.625" bestFit="1" customWidth="1"/>
    <col min="2" max="2" width="18" bestFit="1" customWidth="1"/>
    <col min="3" max="3" width="11.625" customWidth="1"/>
    <col min="4" max="4" width="21.125" customWidth="1"/>
    <col min="5" max="6" width="6" bestFit="1" customWidth="1"/>
    <col min="7" max="7" width="20.5" bestFit="1" customWidth="1"/>
    <col min="8" max="8" width="5.875" customWidth="1"/>
    <col min="9" max="9" width="10" customWidth="1"/>
    <col min="10" max="10" width="26.625" bestFit="1" customWidth="1"/>
    <col min="11" max="11" width="17.625" bestFit="1" customWidth="1"/>
  </cols>
  <sheetData>
    <row r="2" spans="1:15" x14ac:dyDescent="0.2">
      <c r="A2" t="s">
        <v>62</v>
      </c>
      <c r="B2" t="s">
        <v>34</v>
      </c>
      <c r="C2">
        <v>4435010000</v>
      </c>
      <c r="D2" t="s">
        <v>35</v>
      </c>
      <c r="E2" t="s">
        <v>36</v>
      </c>
      <c r="F2" t="s">
        <v>37</v>
      </c>
      <c r="G2" t="s">
        <v>120</v>
      </c>
      <c r="H2">
        <v>1011</v>
      </c>
      <c r="I2" t="s">
        <v>124</v>
      </c>
      <c r="J2" t="s">
        <v>333</v>
      </c>
      <c r="K2" t="s">
        <v>63</v>
      </c>
      <c r="M2" t="s">
        <v>117</v>
      </c>
      <c r="N2">
        <v>363200000</v>
      </c>
      <c r="O2">
        <v>463000000</v>
      </c>
    </row>
    <row r="3" spans="1:15" x14ac:dyDescent="0.2">
      <c r="A3" t="s">
        <v>63</v>
      </c>
      <c r="B3" t="s">
        <v>38</v>
      </c>
      <c r="C3">
        <v>4435010000</v>
      </c>
      <c r="D3" t="s">
        <v>39</v>
      </c>
      <c r="E3" t="s">
        <v>36</v>
      </c>
      <c r="F3" t="s">
        <v>40</v>
      </c>
      <c r="G3" t="s">
        <v>120</v>
      </c>
      <c r="H3">
        <v>1012</v>
      </c>
      <c r="I3" t="s">
        <v>125</v>
      </c>
      <c r="J3" t="s">
        <v>334</v>
      </c>
      <c r="K3" t="s">
        <v>63</v>
      </c>
      <c r="M3" t="s">
        <v>118</v>
      </c>
      <c r="N3">
        <v>363500000</v>
      </c>
      <c r="O3">
        <v>463000000</v>
      </c>
    </row>
    <row r="4" spans="1:15" x14ac:dyDescent="0.2">
      <c r="A4" t="s">
        <v>64</v>
      </c>
      <c r="B4" t="s">
        <v>41</v>
      </c>
      <c r="C4">
        <v>4435010000</v>
      </c>
      <c r="D4" t="s">
        <v>42</v>
      </c>
      <c r="E4" t="s">
        <v>43</v>
      </c>
      <c r="F4" t="s">
        <v>44</v>
      </c>
      <c r="G4" t="s">
        <v>120</v>
      </c>
      <c r="H4">
        <v>1050</v>
      </c>
      <c r="I4" t="s">
        <v>82</v>
      </c>
      <c r="J4" t="s">
        <v>335</v>
      </c>
      <c r="K4" t="s">
        <v>62</v>
      </c>
      <c r="M4" t="s">
        <v>119</v>
      </c>
      <c r="N4">
        <v>363200000</v>
      </c>
      <c r="O4">
        <v>463000000</v>
      </c>
    </row>
    <row r="5" spans="1:15" x14ac:dyDescent="0.2">
      <c r="A5" t="s">
        <v>65</v>
      </c>
      <c r="B5" t="s">
        <v>45</v>
      </c>
      <c r="C5">
        <v>4435010000</v>
      </c>
      <c r="D5" t="s">
        <v>46</v>
      </c>
      <c r="E5" t="s">
        <v>43</v>
      </c>
      <c r="F5" t="s">
        <v>47</v>
      </c>
      <c r="G5" t="s">
        <v>120</v>
      </c>
      <c r="H5">
        <v>1051</v>
      </c>
      <c r="I5" t="s">
        <v>83</v>
      </c>
      <c r="J5" t="s">
        <v>336</v>
      </c>
      <c r="K5" t="s">
        <v>62</v>
      </c>
    </row>
    <row r="6" spans="1:15" x14ac:dyDescent="0.2">
      <c r="A6" t="s">
        <v>68</v>
      </c>
      <c r="B6" t="s">
        <v>48</v>
      </c>
      <c r="C6">
        <v>4435010000</v>
      </c>
      <c r="D6" t="s">
        <v>49</v>
      </c>
      <c r="E6" t="s">
        <v>50</v>
      </c>
      <c r="F6" t="s">
        <v>51</v>
      </c>
      <c r="G6" t="s">
        <v>120</v>
      </c>
      <c r="H6">
        <v>1052</v>
      </c>
      <c r="I6" t="s">
        <v>84</v>
      </c>
      <c r="J6" t="s">
        <v>337</v>
      </c>
      <c r="K6" t="s">
        <v>62</v>
      </c>
    </row>
    <row r="7" spans="1:15" x14ac:dyDescent="0.2">
      <c r="A7" t="s">
        <v>66</v>
      </c>
      <c r="B7" t="s">
        <v>52</v>
      </c>
      <c r="C7">
        <v>4435010000</v>
      </c>
      <c r="D7" t="s">
        <v>53</v>
      </c>
      <c r="E7" t="s">
        <v>50</v>
      </c>
      <c r="F7" t="s">
        <v>54</v>
      </c>
      <c r="G7" t="s">
        <v>120</v>
      </c>
      <c r="H7">
        <v>1054</v>
      </c>
      <c r="I7" t="s">
        <v>85</v>
      </c>
      <c r="J7" t="s">
        <v>338</v>
      </c>
      <c r="K7" t="s">
        <v>62</v>
      </c>
    </row>
    <row r="8" spans="1:15" x14ac:dyDescent="0.2">
      <c r="A8" t="s">
        <v>69</v>
      </c>
      <c r="B8" t="s">
        <v>55</v>
      </c>
      <c r="C8">
        <v>4435010000</v>
      </c>
      <c r="D8" t="s">
        <v>56</v>
      </c>
      <c r="E8" t="s">
        <v>57</v>
      </c>
      <c r="F8" t="s">
        <v>58</v>
      </c>
      <c r="G8" t="s">
        <v>120</v>
      </c>
      <c r="H8">
        <v>1055</v>
      </c>
      <c r="I8" t="s">
        <v>86</v>
      </c>
      <c r="J8" t="s">
        <v>339</v>
      </c>
      <c r="K8" t="s">
        <v>62</v>
      </c>
    </row>
    <row r="9" spans="1:15" x14ac:dyDescent="0.2">
      <c r="A9" t="s">
        <v>67</v>
      </c>
      <c r="B9" t="s">
        <v>59</v>
      </c>
      <c r="C9">
        <v>4435010000</v>
      </c>
      <c r="D9" t="s">
        <v>60</v>
      </c>
      <c r="E9" t="s">
        <v>50</v>
      </c>
      <c r="F9" t="s">
        <v>61</v>
      </c>
      <c r="G9" t="s">
        <v>120</v>
      </c>
      <c r="H9">
        <v>1057</v>
      </c>
      <c r="I9" t="s">
        <v>87</v>
      </c>
      <c r="J9" t="s">
        <v>340</v>
      </c>
      <c r="K9" t="s">
        <v>63</v>
      </c>
      <c r="M9" t="s">
        <v>120</v>
      </c>
    </row>
    <row r="10" spans="1:15" x14ac:dyDescent="0.2">
      <c r="G10" t="s">
        <v>120</v>
      </c>
      <c r="H10">
        <v>1059</v>
      </c>
      <c r="I10" t="s">
        <v>88</v>
      </c>
      <c r="J10" t="s">
        <v>341</v>
      </c>
      <c r="K10" t="s">
        <v>63</v>
      </c>
      <c r="M10" t="s">
        <v>121</v>
      </c>
    </row>
    <row r="11" spans="1:15" x14ac:dyDescent="0.2">
      <c r="G11" t="s">
        <v>120</v>
      </c>
      <c r="H11">
        <v>1060</v>
      </c>
      <c r="I11" t="s">
        <v>89</v>
      </c>
      <c r="J11" t="s">
        <v>342</v>
      </c>
      <c r="K11" t="s">
        <v>63</v>
      </c>
      <c r="M11" t="s">
        <v>122</v>
      </c>
    </row>
    <row r="12" spans="1:15" ht="15" x14ac:dyDescent="0.25">
      <c r="A12" s="2" t="s">
        <v>148</v>
      </c>
      <c r="B12" t="s">
        <v>164</v>
      </c>
      <c r="C12" t="s">
        <v>165</v>
      </c>
      <c r="G12" t="s">
        <v>120</v>
      </c>
      <c r="H12">
        <v>1061</v>
      </c>
      <c r="I12" t="s">
        <v>90</v>
      </c>
      <c r="J12" t="s">
        <v>343</v>
      </c>
      <c r="K12" t="s">
        <v>63</v>
      </c>
      <c r="M12" t="s">
        <v>123</v>
      </c>
    </row>
    <row r="13" spans="1:15" x14ac:dyDescent="0.2">
      <c r="A13" t="s">
        <v>149</v>
      </c>
      <c r="B13">
        <v>9000</v>
      </c>
      <c r="C13">
        <v>6000</v>
      </c>
      <c r="G13" t="s">
        <v>120</v>
      </c>
      <c r="H13">
        <v>1062</v>
      </c>
      <c r="I13" t="s">
        <v>91</v>
      </c>
      <c r="J13" t="s">
        <v>344</v>
      </c>
      <c r="K13" t="s">
        <v>63</v>
      </c>
    </row>
    <row r="14" spans="1:15" x14ac:dyDescent="0.2">
      <c r="A14" t="s">
        <v>150</v>
      </c>
      <c r="B14">
        <v>2000</v>
      </c>
      <c r="C14">
        <v>1000</v>
      </c>
      <c r="G14" t="s">
        <v>120</v>
      </c>
      <c r="H14">
        <v>1063</v>
      </c>
      <c r="I14" t="s">
        <v>92</v>
      </c>
      <c r="J14" t="s">
        <v>345</v>
      </c>
      <c r="K14" t="s">
        <v>62</v>
      </c>
    </row>
    <row r="15" spans="1:15" x14ac:dyDescent="0.2">
      <c r="A15" t="s">
        <v>159</v>
      </c>
      <c r="B15">
        <v>3000</v>
      </c>
      <c r="C15">
        <v>6000</v>
      </c>
      <c r="G15" t="s">
        <v>120</v>
      </c>
      <c r="H15">
        <v>1064</v>
      </c>
      <c r="I15" t="s">
        <v>93</v>
      </c>
      <c r="J15" t="s">
        <v>346</v>
      </c>
      <c r="K15" t="s">
        <v>62</v>
      </c>
    </row>
    <row r="16" spans="1:15" x14ac:dyDescent="0.2">
      <c r="G16" t="s">
        <v>121</v>
      </c>
      <c r="H16">
        <v>2005</v>
      </c>
      <c r="I16" t="s">
        <v>126</v>
      </c>
      <c r="J16" t="s">
        <v>347</v>
      </c>
      <c r="K16" t="s">
        <v>64</v>
      </c>
      <c r="M16">
        <v>2026</v>
      </c>
    </row>
    <row r="17" spans="1:13" x14ac:dyDescent="0.2">
      <c r="G17" t="s">
        <v>121</v>
      </c>
      <c r="H17">
        <v>2009</v>
      </c>
      <c r="I17" t="s">
        <v>127</v>
      </c>
      <c r="J17" t="s">
        <v>348</v>
      </c>
      <c r="K17" t="s">
        <v>64</v>
      </c>
      <c r="M17">
        <v>2027</v>
      </c>
    </row>
    <row r="18" spans="1:13" x14ac:dyDescent="0.2">
      <c r="A18" t="s">
        <v>62</v>
      </c>
      <c r="B18" t="s">
        <v>403</v>
      </c>
      <c r="C18">
        <v>4435010000</v>
      </c>
      <c r="D18" t="s">
        <v>325</v>
      </c>
      <c r="E18" t="s">
        <v>36</v>
      </c>
      <c r="F18" t="s">
        <v>37</v>
      </c>
      <c r="G18" t="s">
        <v>121</v>
      </c>
      <c r="H18">
        <v>2010</v>
      </c>
      <c r="I18" t="s">
        <v>128</v>
      </c>
      <c r="J18" t="s">
        <v>349</v>
      </c>
      <c r="K18" t="s">
        <v>64</v>
      </c>
      <c r="M18">
        <v>2028</v>
      </c>
    </row>
    <row r="19" spans="1:13" x14ac:dyDescent="0.2">
      <c r="A19" t="s">
        <v>63</v>
      </c>
      <c r="B19" t="s">
        <v>402</v>
      </c>
      <c r="C19">
        <v>4435010000</v>
      </c>
      <c r="D19" t="s">
        <v>326</v>
      </c>
      <c r="E19" t="s">
        <v>36</v>
      </c>
      <c r="F19" t="s">
        <v>40</v>
      </c>
      <c r="G19" t="s">
        <v>121</v>
      </c>
      <c r="H19">
        <v>2011</v>
      </c>
      <c r="I19" t="s">
        <v>129</v>
      </c>
      <c r="J19" t="s">
        <v>350</v>
      </c>
      <c r="K19" t="s">
        <v>64</v>
      </c>
    </row>
    <row r="20" spans="1:13" x14ac:dyDescent="0.2">
      <c r="A20" t="s">
        <v>64</v>
      </c>
      <c r="B20" t="s">
        <v>404</v>
      </c>
      <c r="C20">
        <v>4435010000</v>
      </c>
      <c r="D20" t="s">
        <v>327</v>
      </c>
      <c r="E20" t="s">
        <v>43</v>
      </c>
      <c r="F20" t="s">
        <v>44</v>
      </c>
      <c r="G20" t="s">
        <v>121</v>
      </c>
      <c r="H20">
        <v>2050</v>
      </c>
      <c r="I20" t="s">
        <v>94</v>
      </c>
      <c r="J20" t="s">
        <v>351</v>
      </c>
      <c r="K20" t="s">
        <v>64</v>
      </c>
    </row>
    <row r="21" spans="1:13" x14ac:dyDescent="0.2">
      <c r="A21" t="s">
        <v>65</v>
      </c>
      <c r="B21" t="s">
        <v>405</v>
      </c>
      <c r="C21">
        <v>4435010000</v>
      </c>
      <c r="D21" t="s">
        <v>328</v>
      </c>
      <c r="E21" t="s">
        <v>43</v>
      </c>
      <c r="F21" t="s">
        <v>47</v>
      </c>
      <c r="G21" t="s">
        <v>121</v>
      </c>
      <c r="H21">
        <v>2052</v>
      </c>
      <c r="I21" t="s">
        <v>95</v>
      </c>
      <c r="J21" t="s">
        <v>352</v>
      </c>
      <c r="K21" t="s">
        <v>65</v>
      </c>
    </row>
    <row r="22" spans="1:13" x14ac:dyDescent="0.2">
      <c r="A22" t="s">
        <v>68</v>
      </c>
      <c r="B22" t="s">
        <v>406</v>
      </c>
      <c r="C22">
        <v>4435010000</v>
      </c>
      <c r="D22" t="s">
        <v>329</v>
      </c>
      <c r="E22" t="s">
        <v>50</v>
      </c>
      <c r="F22" t="s">
        <v>51</v>
      </c>
      <c r="G22" t="s">
        <v>121</v>
      </c>
      <c r="H22">
        <v>2053</v>
      </c>
      <c r="I22" t="s">
        <v>96</v>
      </c>
      <c r="J22" t="s">
        <v>353</v>
      </c>
      <c r="K22" t="s">
        <v>65</v>
      </c>
    </row>
    <row r="23" spans="1:13" x14ac:dyDescent="0.2">
      <c r="A23" t="s">
        <v>67</v>
      </c>
      <c r="B23" t="s">
        <v>407</v>
      </c>
      <c r="C23">
        <v>4435010000</v>
      </c>
      <c r="D23" t="s">
        <v>330</v>
      </c>
      <c r="E23" t="s">
        <v>50</v>
      </c>
      <c r="F23" t="s">
        <v>61</v>
      </c>
      <c r="G23" t="s">
        <v>121</v>
      </c>
      <c r="H23">
        <v>2055</v>
      </c>
      <c r="I23" t="s">
        <v>97</v>
      </c>
      <c r="J23" t="s">
        <v>354</v>
      </c>
      <c r="K23" t="s">
        <v>65</v>
      </c>
    </row>
    <row r="24" spans="1:13" x14ac:dyDescent="0.2">
      <c r="A24" t="s">
        <v>66</v>
      </c>
      <c r="B24" t="s">
        <v>408</v>
      </c>
      <c r="C24">
        <v>4435010000</v>
      </c>
      <c r="D24" t="s">
        <v>331</v>
      </c>
      <c r="E24" t="s">
        <v>50</v>
      </c>
      <c r="F24" t="s">
        <v>54</v>
      </c>
      <c r="G24" t="s">
        <v>121</v>
      </c>
      <c r="H24">
        <v>2059</v>
      </c>
      <c r="I24" t="s">
        <v>98</v>
      </c>
      <c r="J24" t="s">
        <v>355</v>
      </c>
      <c r="K24" t="s">
        <v>65</v>
      </c>
    </row>
    <row r="25" spans="1:13" x14ac:dyDescent="0.2">
      <c r="A25" t="s">
        <v>69</v>
      </c>
      <c r="B25" t="s">
        <v>409</v>
      </c>
      <c r="C25">
        <v>4435010000</v>
      </c>
      <c r="D25" t="s">
        <v>332</v>
      </c>
      <c r="E25" t="s">
        <v>57</v>
      </c>
      <c r="F25" t="s">
        <v>58</v>
      </c>
      <c r="G25" t="s">
        <v>121</v>
      </c>
      <c r="H25">
        <v>2060</v>
      </c>
      <c r="I25" t="s">
        <v>99</v>
      </c>
      <c r="J25" t="s">
        <v>356</v>
      </c>
      <c r="K25" t="s">
        <v>65</v>
      </c>
    </row>
    <row r="26" spans="1:13" x14ac:dyDescent="0.2">
      <c r="G26" t="s">
        <v>121</v>
      </c>
      <c r="H26">
        <v>2061</v>
      </c>
      <c r="I26" t="s">
        <v>100</v>
      </c>
      <c r="J26" t="s">
        <v>357</v>
      </c>
      <c r="K26" t="s">
        <v>65</v>
      </c>
    </row>
    <row r="27" spans="1:13" x14ac:dyDescent="0.2">
      <c r="G27" t="s">
        <v>121</v>
      </c>
      <c r="H27">
        <v>2080</v>
      </c>
      <c r="I27" t="s">
        <v>101</v>
      </c>
      <c r="J27" t="s">
        <v>358</v>
      </c>
      <c r="K27" t="s">
        <v>64</v>
      </c>
    </row>
    <row r="28" spans="1:13" x14ac:dyDescent="0.2">
      <c r="G28" t="s">
        <v>122</v>
      </c>
      <c r="H28">
        <v>3002</v>
      </c>
      <c r="I28" t="s">
        <v>130</v>
      </c>
      <c r="J28" t="s">
        <v>359</v>
      </c>
      <c r="K28" t="s">
        <v>67</v>
      </c>
    </row>
    <row r="29" spans="1:13" x14ac:dyDescent="0.2">
      <c r="G29" t="s">
        <v>122</v>
      </c>
      <c r="H29">
        <v>3004</v>
      </c>
      <c r="I29" t="s">
        <v>131</v>
      </c>
      <c r="J29" t="s">
        <v>360</v>
      </c>
      <c r="K29" t="s">
        <v>67</v>
      </c>
    </row>
    <row r="30" spans="1:13" x14ac:dyDescent="0.2">
      <c r="G30" t="s">
        <v>122</v>
      </c>
      <c r="H30">
        <v>3006</v>
      </c>
      <c r="I30" t="s">
        <v>132</v>
      </c>
      <c r="J30" t="s">
        <v>361</v>
      </c>
      <c r="K30" t="s">
        <v>67</v>
      </c>
    </row>
    <row r="31" spans="1:13" x14ac:dyDescent="0.2">
      <c r="G31" t="s">
        <v>122</v>
      </c>
      <c r="H31">
        <v>3007</v>
      </c>
      <c r="I31" t="s">
        <v>133</v>
      </c>
      <c r="J31" t="s">
        <v>362</v>
      </c>
      <c r="K31" t="s">
        <v>67</v>
      </c>
    </row>
    <row r="32" spans="1:13" x14ac:dyDescent="0.2">
      <c r="G32" t="s">
        <v>122</v>
      </c>
      <c r="H32">
        <v>3050</v>
      </c>
      <c r="I32" t="s">
        <v>102</v>
      </c>
      <c r="J32" t="s">
        <v>363</v>
      </c>
      <c r="K32" t="s">
        <v>66</v>
      </c>
    </row>
    <row r="33" spans="7:11" x14ac:dyDescent="0.2">
      <c r="G33" t="s">
        <v>122</v>
      </c>
      <c r="H33">
        <v>3051</v>
      </c>
      <c r="I33" t="s">
        <v>103</v>
      </c>
      <c r="J33" t="s">
        <v>364</v>
      </c>
      <c r="K33" t="s">
        <v>67</v>
      </c>
    </row>
    <row r="34" spans="7:11" x14ac:dyDescent="0.2">
      <c r="G34" t="s">
        <v>122</v>
      </c>
      <c r="H34">
        <v>3052</v>
      </c>
      <c r="I34" t="s">
        <v>104</v>
      </c>
      <c r="J34" t="s">
        <v>365</v>
      </c>
      <c r="K34" t="s">
        <v>67</v>
      </c>
    </row>
    <row r="35" spans="7:11" x14ac:dyDescent="0.2">
      <c r="G35" t="s">
        <v>122</v>
      </c>
      <c r="H35">
        <v>3055</v>
      </c>
      <c r="I35" t="s">
        <v>105</v>
      </c>
      <c r="J35" t="s">
        <v>366</v>
      </c>
      <c r="K35" t="s">
        <v>66</v>
      </c>
    </row>
    <row r="36" spans="7:11" x14ac:dyDescent="0.2">
      <c r="G36" t="s">
        <v>122</v>
      </c>
      <c r="H36">
        <v>3056</v>
      </c>
      <c r="I36" t="s">
        <v>106</v>
      </c>
      <c r="J36" t="s">
        <v>367</v>
      </c>
      <c r="K36" t="s">
        <v>66</v>
      </c>
    </row>
    <row r="37" spans="7:11" x14ac:dyDescent="0.2">
      <c r="G37" t="s">
        <v>122</v>
      </c>
      <c r="H37">
        <v>3058</v>
      </c>
      <c r="I37" t="s">
        <v>107</v>
      </c>
      <c r="J37" t="s">
        <v>368</v>
      </c>
      <c r="K37" t="s">
        <v>66</v>
      </c>
    </row>
    <row r="38" spans="7:11" x14ac:dyDescent="0.2">
      <c r="G38" t="s">
        <v>122</v>
      </c>
      <c r="H38">
        <v>3059</v>
      </c>
      <c r="I38" t="s">
        <v>108</v>
      </c>
      <c r="J38" t="s">
        <v>369</v>
      </c>
      <c r="K38" t="s">
        <v>67</v>
      </c>
    </row>
    <row r="39" spans="7:11" x14ac:dyDescent="0.2">
      <c r="G39" t="s">
        <v>122</v>
      </c>
      <c r="H39">
        <v>3060</v>
      </c>
      <c r="I39" t="s">
        <v>109</v>
      </c>
      <c r="J39" t="s">
        <v>370</v>
      </c>
      <c r="K39" t="s">
        <v>68</v>
      </c>
    </row>
    <row r="40" spans="7:11" x14ac:dyDescent="0.2">
      <c r="G40" t="s">
        <v>122</v>
      </c>
      <c r="H40">
        <v>3063</v>
      </c>
      <c r="I40" t="s">
        <v>110</v>
      </c>
      <c r="J40" t="s">
        <v>371</v>
      </c>
      <c r="K40" t="s">
        <v>68</v>
      </c>
    </row>
    <row r="41" spans="7:11" x14ac:dyDescent="0.2">
      <c r="G41" t="s">
        <v>122</v>
      </c>
      <c r="H41">
        <v>3064</v>
      </c>
      <c r="I41" t="s">
        <v>111</v>
      </c>
      <c r="J41" t="s">
        <v>372</v>
      </c>
      <c r="K41" t="s">
        <v>68</v>
      </c>
    </row>
    <row r="42" spans="7:11" x14ac:dyDescent="0.2">
      <c r="G42" t="s">
        <v>122</v>
      </c>
      <c r="H42">
        <v>3065</v>
      </c>
      <c r="I42" t="s">
        <v>112</v>
      </c>
      <c r="J42" t="s">
        <v>373</v>
      </c>
      <c r="K42" t="s">
        <v>68</v>
      </c>
    </row>
    <row r="43" spans="7:11" x14ac:dyDescent="0.2">
      <c r="G43" t="s">
        <v>122</v>
      </c>
      <c r="H43">
        <v>3066</v>
      </c>
      <c r="I43" t="s">
        <v>113</v>
      </c>
      <c r="J43" t="s">
        <v>374</v>
      </c>
      <c r="K43" t="s">
        <v>68</v>
      </c>
    </row>
    <row r="44" spans="7:11" x14ac:dyDescent="0.2">
      <c r="G44" t="s">
        <v>122</v>
      </c>
      <c r="H44">
        <v>3067</v>
      </c>
      <c r="I44" t="s">
        <v>114</v>
      </c>
      <c r="J44" t="s">
        <v>375</v>
      </c>
      <c r="K44" t="s">
        <v>66</v>
      </c>
    </row>
    <row r="45" spans="7:11" x14ac:dyDescent="0.2">
      <c r="G45" t="s">
        <v>122</v>
      </c>
      <c r="H45">
        <v>3080</v>
      </c>
      <c r="I45" t="s">
        <v>115</v>
      </c>
      <c r="J45" t="s">
        <v>376</v>
      </c>
      <c r="K45" t="s">
        <v>68</v>
      </c>
    </row>
    <row r="46" spans="7:11" x14ac:dyDescent="0.2">
      <c r="G46" t="s">
        <v>122</v>
      </c>
      <c r="H46">
        <v>3081</v>
      </c>
      <c r="I46" t="s">
        <v>116</v>
      </c>
      <c r="J46" t="s">
        <v>377</v>
      </c>
      <c r="K46" t="s">
        <v>66</v>
      </c>
    </row>
    <row r="47" spans="7:11" x14ac:dyDescent="0.2">
      <c r="G47" t="s">
        <v>123</v>
      </c>
      <c r="H47">
        <v>4001</v>
      </c>
      <c r="I47" t="s">
        <v>134</v>
      </c>
      <c r="J47" t="s">
        <v>378</v>
      </c>
      <c r="K47" t="s">
        <v>69</v>
      </c>
    </row>
    <row r="48" spans="7:11" x14ac:dyDescent="0.2">
      <c r="G48" t="s">
        <v>123</v>
      </c>
      <c r="H48">
        <v>4002</v>
      </c>
      <c r="I48" t="s">
        <v>135</v>
      </c>
      <c r="J48" t="s">
        <v>379</v>
      </c>
      <c r="K48" t="s">
        <v>69</v>
      </c>
    </row>
    <row r="49" spans="7:11" x14ac:dyDescent="0.2">
      <c r="G49" t="s">
        <v>123</v>
      </c>
      <c r="H49">
        <v>4051</v>
      </c>
      <c r="I49" t="s">
        <v>70</v>
      </c>
      <c r="J49" t="s">
        <v>380</v>
      </c>
      <c r="K49" t="s">
        <v>69</v>
      </c>
    </row>
    <row r="50" spans="7:11" x14ac:dyDescent="0.2">
      <c r="G50" t="s">
        <v>123</v>
      </c>
      <c r="H50">
        <v>4052</v>
      </c>
      <c r="I50" t="s">
        <v>71</v>
      </c>
      <c r="J50" t="s">
        <v>381</v>
      </c>
      <c r="K50" t="s">
        <v>69</v>
      </c>
    </row>
    <row r="51" spans="7:11" x14ac:dyDescent="0.2">
      <c r="G51" t="s">
        <v>123</v>
      </c>
      <c r="H51">
        <v>4053</v>
      </c>
      <c r="I51" t="s">
        <v>72</v>
      </c>
      <c r="J51" t="s">
        <v>382</v>
      </c>
      <c r="K51" t="s">
        <v>69</v>
      </c>
    </row>
    <row r="52" spans="7:11" x14ac:dyDescent="0.2">
      <c r="G52" t="s">
        <v>123</v>
      </c>
      <c r="H52">
        <v>4055</v>
      </c>
      <c r="I52" t="s">
        <v>73</v>
      </c>
      <c r="J52" t="s">
        <v>383</v>
      </c>
      <c r="K52" t="s">
        <v>69</v>
      </c>
    </row>
    <row r="53" spans="7:11" x14ac:dyDescent="0.2">
      <c r="G53" t="s">
        <v>123</v>
      </c>
      <c r="H53">
        <v>4056</v>
      </c>
      <c r="I53" t="s">
        <v>74</v>
      </c>
      <c r="J53" t="s">
        <v>384</v>
      </c>
      <c r="K53" t="s">
        <v>69</v>
      </c>
    </row>
    <row r="54" spans="7:11" x14ac:dyDescent="0.2">
      <c r="G54" t="s">
        <v>123</v>
      </c>
      <c r="H54">
        <v>4059</v>
      </c>
      <c r="I54" t="s">
        <v>75</v>
      </c>
      <c r="J54" t="s">
        <v>385</v>
      </c>
      <c r="K54" t="s">
        <v>69</v>
      </c>
    </row>
    <row r="55" spans="7:11" x14ac:dyDescent="0.2">
      <c r="G55" t="s">
        <v>123</v>
      </c>
      <c r="H55">
        <v>4061</v>
      </c>
      <c r="I55" t="s">
        <v>76</v>
      </c>
      <c r="J55" t="s">
        <v>386</v>
      </c>
      <c r="K55" t="s">
        <v>69</v>
      </c>
    </row>
    <row r="56" spans="7:11" x14ac:dyDescent="0.2">
      <c r="G56" t="s">
        <v>123</v>
      </c>
      <c r="H56">
        <v>4063</v>
      </c>
      <c r="I56" t="s">
        <v>77</v>
      </c>
      <c r="J56" t="s">
        <v>387</v>
      </c>
      <c r="K56" t="s">
        <v>69</v>
      </c>
    </row>
    <row r="57" spans="7:11" x14ac:dyDescent="0.2">
      <c r="G57" t="s">
        <v>120</v>
      </c>
      <c r="H57">
        <v>5091</v>
      </c>
      <c r="I57" t="s">
        <v>78</v>
      </c>
      <c r="J57" t="s">
        <v>388</v>
      </c>
      <c r="K57" t="s">
        <v>62</v>
      </c>
    </row>
    <row r="58" spans="7:11" x14ac:dyDescent="0.2">
      <c r="G58" t="s">
        <v>121</v>
      </c>
      <c r="H58" s="12">
        <v>5092</v>
      </c>
      <c r="I58" t="s">
        <v>79</v>
      </c>
      <c r="J58" t="s">
        <v>389</v>
      </c>
      <c r="K58" t="s">
        <v>65</v>
      </c>
    </row>
    <row r="59" spans="7:11" x14ac:dyDescent="0.2">
      <c r="G59" t="s">
        <v>122</v>
      </c>
      <c r="H59" s="13">
        <v>5093</v>
      </c>
      <c r="I59" t="s">
        <v>80</v>
      </c>
      <c r="J59" t="s">
        <v>390</v>
      </c>
      <c r="K59" t="s">
        <v>66</v>
      </c>
    </row>
    <row r="60" spans="7:11" x14ac:dyDescent="0.2">
      <c r="G60" t="s">
        <v>123</v>
      </c>
      <c r="H60">
        <v>5094</v>
      </c>
      <c r="I60" t="s">
        <v>81</v>
      </c>
      <c r="J60" t="s">
        <v>391</v>
      </c>
      <c r="K60" t="s">
        <v>69</v>
      </c>
    </row>
  </sheetData>
  <sheetProtection sheet="1" objects="1" scenarios="1" selectLockedCells="1" selectUnlockedCells="1"/>
  <pageMargins left="0.34251968503937008" right="0.39370078740157483" top="1.1811023622047245" bottom="0.59055118110236227" header="0.20472440944881892" footer="0.31496062992125984"/>
  <pageSetup paperSize="9" orientation="portrait" r:id="rId1"/>
  <headerFooter scaleWithDoc="0">
    <oddHeader>&amp;L&amp;G</oddHeader>
    <oddFooter>&amp;L&amp;7   &amp;C&amp;7   &amp;R&amp;7&amp;P/&amp;N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9A61-4E16-42A6-93E8-6D41C80A4003}">
  <dimension ref="A1:L9"/>
  <sheetViews>
    <sheetView workbookViewId="0">
      <selection activeCell="I9" sqref="I9"/>
    </sheetView>
  </sheetViews>
  <sheetFormatPr baseColWidth="10" defaultRowHeight="14.25" x14ac:dyDescent="0.2"/>
  <cols>
    <col min="1" max="1" width="19.125" bestFit="1" customWidth="1"/>
    <col min="2" max="2" width="26.125" bestFit="1" customWidth="1"/>
    <col min="3" max="3" width="16.25" bestFit="1" customWidth="1"/>
    <col min="4" max="4" width="14.125" bestFit="1" customWidth="1"/>
    <col min="5" max="5" width="15" bestFit="1" customWidth="1"/>
    <col min="6" max="6" width="20.5" bestFit="1" customWidth="1"/>
    <col min="9" max="9" width="15" bestFit="1" customWidth="1"/>
    <col min="10" max="10" width="19.25" bestFit="1" customWidth="1"/>
    <col min="11" max="11" width="54.125" bestFit="1" customWidth="1"/>
    <col min="12" max="12" width="21.75" bestFit="1" customWidth="1"/>
  </cols>
  <sheetData>
    <row r="1" spans="1:12" s="2" customFormat="1" ht="15" x14ac:dyDescent="0.25">
      <c r="A1" s="2" t="s">
        <v>421</v>
      </c>
      <c r="B1" s="2" t="s">
        <v>15</v>
      </c>
      <c r="C1" s="2" t="s">
        <v>422</v>
      </c>
      <c r="D1" s="2" t="s">
        <v>10</v>
      </c>
      <c r="E1" s="2" t="s">
        <v>423</v>
      </c>
      <c r="F1" s="2" t="s">
        <v>424</v>
      </c>
      <c r="G1" s="2" t="s">
        <v>425</v>
      </c>
      <c r="H1" s="2" t="s">
        <v>426</v>
      </c>
      <c r="I1" s="2" t="s">
        <v>427</v>
      </c>
      <c r="J1" s="2" t="s">
        <v>428</v>
      </c>
      <c r="K1" s="2" t="s">
        <v>430</v>
      </c>
      <c r="L1" s="2" t="s">
        <v>431</v>
      </c>
    </row>
    <row r="2" spans="1:12" x14ac:dyDescent="0.2">
      <c r="A2" t="s">
        <v>62</v>
      </c>
      <c r="B2" t="s">
        <v>120</v>
      </c>
      <c r="C2" t="s">
        <v>446</v>
      </c>
      <c r="D2" t="s">
        <v>447</v>
      </c>
      <c r="E2" t="s">
        <v>456</v>
      </c>
      <c r="F2" t="s">
        <v>457</v>
      </c>
      <c r="G2" t="s">
        <v>224</v>
      </c>
      <c r="H2" t="s">
        <v>429</v>
      </c>
      <c r="I2" t="s">
        <v>462</v>
      </c>
      <c r="J2" t="s">
        <v>62</v>
      </c>
      <c r="K2" t="str">
        <f>_xlfn.TEXTJOIN(", ",TRUE,B2:D2)</f>
        <v>Waldabteilung Alpen, Schlossgasse 6, 3752 Wimmis</v>
      </c>
      <c r="L2" t="s">
        <v>432</v>
      </c>
    </row>
    <row r="3" spans="1:12" x14ac:dyDescent="0.2">
      <c r="A3" t="s">
        <v>63</v>
      </c>
      <c r="B3" t="s">
        <v>120</v>
      </c>
      <c r="C3" t="s">
        <v>446</v>
      </c>
      <c r="D3" t="s">
        <v>447</v>
      </c>
      <c r="E3" t="s">
        <v>456</v>
      </c>
      <c r="F3" t="s">
        <v>457</v>
      </c>
      <c r="G3" t="s">
        <v>435</v>
      </c>
      <c r="H3" t="s">
        <v>439</v>
      </c>
      <c r="I3" t="s">
        <v>463</v>
      </c>
      <c r="J3" t="s">
        <v>63</v>
      </c>
      <c r="K3" t="str">
        <f t="shared" ref="K3:K9" si="0">_xlfn.TEXTJOIN(", ",TRUE,B3:D3)</f>
        <v>Waldabteilung Alpen, Schlossgasse 6, 3752 Wimmis</v>
      </c>
      <c r="L3" t="s">
        <v>432</v>
      </c>
    </row>
    <row r="4" spans="1:12" x14ac:dyDescent="0.2">
      <c r="A4" t="s">
        <v>64</v>
      </c>
      <c r="B4" t="s">
        <v>121</v>
      </c>
      <c r="C4" t="s">
        <v>448</v>
      </c>
      <c r="D4" t="s">
        <v>449</v>
      </c>
      <c r="E4" t="s">
        <v>460</v>
      </c>
      <c r="F4" t="s">
        <v>461</v>
      </c>
      <c r="G4" t="s">
        <v>440</v>
      </c>
      <c r="H4" t="s">
        <v>441</v>
      </c>
      <c r="I4" t="s">
        <v>464</v>
      </c>
      <c r="J4" t="s">
        <v>64</v>
      </c>
      <c r="K4" t="str">
        <f t="shared" si="0"/>
        <v>Waldabteilung Voralpen, Schwand 2, 3110 Münsingen</v>
      </c>
      <c r="L4" t="s">
        <v>432</v>
      </c>
    </row>
    <row r="5" spans="1:12" x14ac:dyDescent="0.2">
      <c r="A5" t="s">
        <v>65</v>
      </c>
      <c r="B5" t="s">
        <v>121</v>
      </c>
      <c r="C5" t="s">
        <v>448</v>
      </c>
      <c r="D5" t="s">
        <v>449</v>
      </c>
      <c r="E5" t="s">
        <v>460</v>
      </c>
      <c r="F5" t="s">
        <v>461</v>
      </c>
      <c r="G5" t="s">
        <v>440</v>
      </c>
      <c r="H5" t="s">
        <v>442</v>
      </c>
      <c r="I5" t="s">
        <v>465</v>
      </c>
      <c r="J5" t="s">
        <v>65</v>
      </c>
      <c r="K5" t="str">
        <f t="shared" si="0"/>
        <v>Waldabteilung Voralpen, Schwand 2, 3110 Münsingen</v>
      </c>
      <c r="L5" t="s">
        <v>432</v>
      </c>
    </row>
    <row r="6" spans="1:12" x14ac:dyDescent="0.2">
      <c r="A6" t="s">
        <v>68</v>
      </c>
      <c r="B6" t="s">
        <v>122</v>
      </c>
      <c r="C6" t="s">
        <v>450</v>
      </c>
      <c r="D6" t="s">
        <v>451</v>
      </c>
      <c r="E6" t="s">
        <v>458</v>
      </c>
      <c r="F6" t="s">
        <v>459</v>
      </c>
      <c r="G6" t="s">
        <v>232</v>
      </c>
      <c r="H6" t="s">
        <v>443</v>
      </c>
      <c r="I6" t="s">
        <v>466</v>
      </c>
      <c r="J6" t="s">
        <v>68</v>
      </c>
      <c r="K6" t="str">
        <f t="shared" si="0"/>
        <v>Waldabteilung Mittelland, Molkereistrasse 25, 3052 Zollikofen</v>
      </c>
      <c r="L6" t="s">
        <v>432</v>
      </c>
    </row>
    <row r="7" spans="1:12" x14ac:dyDescent="0.2">
      <c r="A7" t="s">
        <v>67</v>
      </c>
      <c r="B7" t="s">
        <v>122</v>
      </c>
      <c r="C7" t="s">
        <v>450</v>
      </c>
      <c r="D7" t="s">
        <v>451</v>
      </c>
      <c r="E7" t="s">
        <v>458</v>
      </c>
      <c r="F7" t="s">
        <v>459</v>
      </c>
      <c r="G7" t="s">
        <v>436</v>
      </c>
      <c r="H7" t="s">
        <v>444</v>
      </c>
      <c r="I7" t="s">
        <v>467</v>
      </c>
      <c r="J7" t="s">
        <v>67</v>
      </c>
      <c r="K7" t="str">
        <f t="shared" si="0"/>
        <v>Waldabteilung Mittelland, Molkereistrasse 25, 3052 Zollikofen</v>
      </c>
      <c r="L7" t="s">
        <v>433</v>
      </c>
    </row>
    <row r="8" spans="1:12" x14ac:dyDescent="0.2">
      <c r="A8" t="s">
        <v>66</v>
      </c>
      <c r="B8" t="s">
        <v>122</v>
      </c>
      <c r="C8" t="s">
        <v>450</v>
      </c>
      <c r="D8" t="s">
        <v>451</v>
      </c>
      <c r="E8" t="s">
        <v>458</v>
      </c>
      <c r="F8" t="s">
        <v>459</v>
      </c>
      <c r="G8" t="s">
        <v>437</v>
      </c>
      <c r="H8" t="s">
        <v>445</v>
      </c>
      <c r="I8" t="s">
        <v>468</v>
      </c>
      <c r="J8" t="s">
        <v>66</v>
      </c>
      <c r="K8" t="str">
        <f t="shared" si="0"/>
        <v>Waldabteilung Mittelland, Molkereistrasse 25, 3052 Zollikofen</v>
      </c>
      <c r="L8" t="s">
        <v>432</v>
      </c>
    </row>
    <row r="9" spans="1:12" x14ac:dyDescent="0.2">
      <c r="A9" t="s">
        <v>69</v>
      </c>
      <c r="B9" t="s">
        <v>123</v>
      </c>
      <c r="C9" t="s">
        <v>454</v>
      </c>
      <c r="D9" t="s">
        <v>455</v>
      </c>
      <c r="E9" t="s">
        <v>452</v>
      </c>
      <c r="F9" t="s">
        <v>453</v>
      </c>
      <c r="G9" t="s">
        <v>438</v>
      </c>
      <c r="H9" t="s">
        <v>175</v>
      </c>
      <c r="I9" t="s">
        <v>469</v>
      </c>
      <c r="J9" t="s">
        <v>69</v>
      </c>
      <c r="K9" t="str">
        <f t="shared" si="0"/>
        <v>Division forestière Jura bernois, Pierre-Pertuis 7, 2710 Tavannes</v>
      </c>
      <c r="L9" t="s">
        <v>432</v>
      </c>
    </row>
  </sheetData>
  <sheetProtection sheet="1" objects="1" scenarios="1" selectLockedCells="1" selectUnlockedCells="1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83E8-B61A-425E-99B8-A3AEC8C76EDE}">
  <dimension ref="A1:E60"/>
  <sheetViews>
    <sheetView workbookViewId="0">
      <selection activeCell="D2" sqref="D2"/>
    </sheetView>
  </sheetViews>
  <sheetFormatPr baseColWidth="10" defaultRowHeight="14.25" x14ac:dyDescent="0.2"/>
  <cols>
    <col min="1" max="1" width="26.125" bestFit="1" customWidth="1"/>
    <col min="2" max="2" width="30.125" bestFit="1" customWidth="1"/>
  </cols>
  <sheetData>
    <row r="1" spans="1:5" x14ac:dyDescent="0.2">
      <c r="A1" t="s">
        <v>15</v>
      </c>
      <c r="B1" t="s">
        <v>166</v>
      </c>
      <c r="D1" s="32" t="str">
        <f>IF(ISTEXT(Eingabe!$B$12)=TRUE,Eingabe!$B$12,"")</f>
        <v/>
      </c>
    </row>
    <row r="2" spans="1:5" x14ac:dyDescent="0.2">
      <c r="A2" t="s">
        <v>120</v>
      </c>
      <c r="B2" t="s">
        <v>333</v>
      </c>
      <c r="E2" s="32"/>
    </row>
    <row r="3" spans="1:5" x14ac:dyDescent="0.2">
      <c r="A3" t="s">
        <v>120</v>
      </c>
      <c r="B3" t="s">
        <v>334</v>
      </c>
    </row>
    <row r="4" spans="1:5" x14ac:dyDescent="0.2">
      <c r="A4" t="s">
        <v>120</v>
      </c>
      <c r="B4" t="s">
        <v>335</v>
      </c>
      <c r="D4" t="str" cm="1">
        <f t="array" ref="D4">_xlfn._xlws.FILTER(A2:B60,A2:A60 = D1,"")</f>
        <v/>
      </c>
    </row>
    <row r="5" spans="1:5" x14ac:dyDescent="0.2">
      <c r="A5" t="s">
        <v>120</v>
      </c>
      <c r="B5" t="s">
        <v>336</v>
      </c>
    </row>
    <row r="6" spans="1:5" x14ac:dyDescent="0.2">
      <c r="A6" t="s">
        <v>120</v>
      </c>
      <c r="B6" t="s">
        <v>337</v>
      </c>
    </row>
    <row r="7" spans="1:5" x14ac:dyDescent="0.2">
      <c r="A7" t="s">
        <v>120</v>
      </c>
      <c r="B7" t="s">
        <v>338</v>
      </c>
    </row>
    <row r="8" spans="1:5" x14ac:dyDescent="0.2">
      <c r="A8" t="s">
        <v>120</v>
      </c>
      <c r="B8" t="s">
        <v>339</v>
      </c>
    </row>
    <row r="9" spans="1:5" x14ac:dyDescent="0.2">
      <c r="A9" t="s">
        <v>120</v>
      </c>
      <c r="B9" t="s">
        <v>340</v>
      </c>
    </row>
    <row r="10" spans="1:5" x14ac:dyDescent="0.2">
      <c r="A10" t="s">
        <v>120</v>
      </c>
      <c r="B10" t="s">
        <v>341</v>
      </c>
    </row>
    <row r="11" spans="1:5" x14ac:dyDescent="0.2">
      <c r="A11" t="s">
        <v>120</v>
      </c>
      <c r="B11" t="s">
        <v>342</v>
      </c>
    </row>
    <row r="12" spans="1:5" x14ac:dyDescent="0.2">
      <c r="A12" t="s">
        <v>120</v>
      </c>
      <c r="B12" t="s">
        <v>343</v>
      </c>
    </row>
    <row r="13" spans="1:5" x14ac:dyDescent="0.2">
      <c r="A13" t="s">
        <v>120</v>
      </c>
      <c r="B13" t="s">
        <v>344</v>
      </c>
    </row>
    <row r="14" spans="1:5" x14ac:dyDescent="0.2">
      <c r="A14" t="s">
        <v>120</v>
      </c>
      <c r="B14" t="s">
        <v>345</v>
      </c>
    </row>
    <row r="15" spans="1:5" x14ac:dyDescent="0.2">
      <c r="A15" t="s">
        <v>120</v>
      </c>
      <c r="B15" t="s">
        <v>346</v>
      </c>
    </row>
    <row r="16" spans="1:5" x14ac:dyDescent="0.2">
      <c r="A16" t="s">
        <v>121</v>
      </c>
      <c r="B16" t="s">
        <v>347</v>
      </c>
    </row>
    <row r="17" spans="1:2" x14ac:dyDescent="0.2">
      <c r="A17" t="s">
        <v>121</v>
      </c>
      <c r="B17" t="s">
        <v>348</v>
      </c>
    </row>
    <row r="18" spans="1:2" x14ac:dyDescent="0.2">
      <c r="A18" t="s">
        <v>121</v>
      </c>
      <c r="B18" t="s">
        <v>349</v>
      </c>
    </row>
    <row r="19" spans="1:2" x14ac:dyDescent="0.2">
      <c r="A19" t="s">
        <v>121</v>
      </c>
      <c r="B19" t="s">
        <v>350</v>
      </c>
    </row>
    <row r="20" spans="1:2" x14ac:dyDescent="0.2">
      <c r="A20" t="s">
        <v>121</v>
      </c>
      <c r="B20" t="s">
        <v>351</v>
      </c>
    </row>
    <row r="21" spans="1:2" x14ac:dyDescent="0.2">
      <c r="A21" t="s">
        <v>121</v>
      </c>
      <c r="B21" t="s">
        <v>352</v>
      </c>
    </row>
    <row r="22" spans="1:2" x14ac:dyDescent="0.2">
      <c r="A22" t="s">
        <v>121</v>
      </c>
      <c r="B22" t="s">
        <v>353</v>
      </c>
    </row>
    <row r="23" spans="1:2" x14ac:dyDescent="0.2">
      <c r="A23" t="s">
        <v>121</v>
      </c>
      <c r="B23" t="s">
        <v>354</v>
      </c>
    </row>
    <row r="24" spans="1:2" x14ac:dyDescent="0.2">
      <c r="A24" t="s">
        <v>121</v>
      </c>
      <c r="B24" t="s">
        <v>355</v>
      </c>
    </row>
    <row r="25" spans="1:2" x14ac:dyDescent="0.2">
      <c r="A25" t="s">
        <v>121</v>
      </c>
      <c r="B25" t="s">
        <v>356</v>
      </c>
    </row>
    <row r="26" spans="1:2" x14ac:dyDescent="0.2">
      <c r="A26" t="s">
        <v>121</v>
      </c>
      <c r="B26" t="s">
        <v>357</v>
      </c>
    </row>
    <row r="27" spans="1:2" x14ac:dyDescent="0.2">
      <c r="A27" t="s">
        <v>121</v>
      </c>
      <c r="B27" t="s">
        <v>358</v>
      </c>
    </row>
    <row r="28" spans="1:2" x14ac:dyDescent="0.2">
      <c r="A28" t="s">
        <v>122</v>
      </c>
      <c r="B28" t="s">
        <v>359</v>
      </c>
    </row>
    <row r="29" spans="1:2" x14ac:dyDescent="0.2">
      <c r="A29" t="s">
        <v>122</v>
      </c>
      <c r="B29" t="s">
        <v>360</v>
      </c>
    </row>
    <row r="30" spans="1:2" x14ac:dyDescent="0.2">
      <c r="A30" t="s">
        <v>122</v>
      </c>
      <c r="B30" t="s">
        <v>361</v>
      </c>
    </row>
    <row r="31" spans="1:2" x14ac:dyDescent="0.2">
      <c r="A31" t="s">
        <v>122</v>
      </c>
      <c r="B31" t="s">
        <v>362</v>
      </c>
    </row>
    <row r="32" spans="1:2" x14ac:dyDescent="0.2">
      <c r="A32" t="s">
        <v>122</v>
      </c>
      <c r="B32" t="s">
        <v>363</v>
      </c>
    </row>
    <row r="33" spans="1:2" x14ac:dyDescent="0.2">
      <c r="A33" t="s">
        <v>122</v>
      </c>
      <c r="B33" t="s">
        <v>364</v>
      </c>
    </row>
    <row r="34" spans="1:2" x14ac:dyDescent="0.2">
      <c r="A34" t="s">
        <v>122</v>
      </c>
      <c r="B34" t="s">
        <v>365</v>
      </c>
    </row>
    <row r="35" spans="1:2" x14ac:dyDescent="0.2">
      <c r="A35" t="s">
        <v>122</v>
      </c>
      <c r="B35" t="s">
        <v>366</v>
      </c>
    </row>
    <row r="36" spans="1:2" x14ac:dyDescent="0.2">
      <c r="A36" t="s">
        <v>122</v>
      </c>
      <c r="B36" t="s">
        <v>367</v>
      </c>
    </row>
    <row r="37" spans="1:2" x14ac:dyDescent="0.2">
      <c r="A37" t="s">
        <v>122</v>
      </c>
      <c r="B37" t="s">
        <v>368</v>
      </c>
    </row>
    <row r="38" spans="1:2" x14ac:dyDescent="0.2">
      <c r="A38" t="s">
        <v>122</v>
      </c>
      <c r="B38" t="s">
        <v>369</v>
      </c>
    </row>
    <row r="39" spans="1:2" x14ac:dyDescent="0.2">
      <c r="A39" t="s">
        <v>122</v>
      </c>
      <c r="B39" t="s">
        <v>370</v>
      </c>
    </row>
    <row r="40" spans="1:2" x14ac:dyDescent="0.2">
      <c r="A40" t="s">
        <v>122</v>
      </c>
      <c r="B40" t="s">
        <v>371</v>
      </c>
    </row>
    <row r="41" spans="1:2" x14ac:dyDescent="0.2">
      <c r="A41" t="s">
        <v>122</v>
      </c>
      <c r="B41" t="s">
        <v>372</v>
      </c>
    </row>
    <row r="42" spans="1:2" x14ac:dyDescent="0.2">
      <c r="A42" t="s">
        <v>122</v>
      </c>
      <c r="B42" t="s">
        <v>373</v>
      </c>
    </row>
    <row r="43" spans="1:2" x14ac:dyDescent="0.2">
      <c r="A43" t="s">
        <v>122</v>
      </c>
      <c r="B43" t="s">
        <v>374</v>
      </c>
    </row>
    <row r="44" spans="1:2" x14ac:dyDescent="0.2">
      <c r="A44" t="s">
        <v>122</v>
      </c>
      <c r="B44" t="s">
        <v>375</v>
      </c>
    </row>
    <row r="45" spans="1:2" x14ac:dyDescent="0.2">
      <c r="A45" t="s">
        <v>122</v>
      </c>
      <c r="B45" t="s">
        <v>376</v>
      </c>
    </row>
    <row r="46" spans="1:2" x14ac:dyDescent="0.2">
      <c r="A46" t="s">
        <v>122</v>
      </c>
      <c r="B46" t="s">
        <v>377</v>
      </c>
    </row>
    <row r="47" spans="1:2" x14ac:dyDescent="0.2">
      <c r="A47" t="s">
        <v>123</v>
      </c>
      <c r="B47" t="s">
        <v>378</v>
      </c>
    </row>
    <row r="48" spans="1:2" x14ac:dyDescent="0.2">
      <c r="A48" t="s">
        <v>123</v>
      </c>
      <c r="B48" t="s">
        <v>379</v>
      </c>
    </row>
    <row r="49" spans="1:2" x14ac:dyDescent="0.2">
      <c r="A49" t="s">
        <v>123</v>
      </c>
      <c r="B49" t="s">
        <v>380</v>
      </c>
    </row>
    <row r="50" spans="1:2" x14ac:dyDescent="0.2">
      <c r="A50" t="s">
        <v>123</v>
      </c>
      <c r="B50" t="s">
        <v>381</v>
      </c>
    </row>
    <row r="51" spans="1:2" x14ac:dyDescent="0.2">
      <c r="A51" t="s">
        <v>123</v>
      </c>
      <c r="B51" t="s">
        <v>382</v>
      </c>
    </row>
    <row r="52" spans="1:2" x14ac:dyDescent="0.2">
      <c r="A52" t="s">
        <v>123</v>
      </c>
      <c r="B52" t="s">
        <v>383</v>
      </c>
    </row>
    <row r="53" spans="1:2" x14ac:dyDescent="0.2">
      <c r="A53" t="s">
        <v>123</v>
      </c>
      <c r="B53" t="s">
        <v>384</v>
      </c>
    </row>
    <row r="54" spans="1:2" x14ac:dyDescent="0.2">
      <c r="A54" t="s">
        <v>123</v>
      </c>
      <c r="B54" t="s">
        <v>385</v>
      </c>
    </row>
    <row r="55" spans="1:2" x14ac:dyDescent="0.2">
      <c r="A55" t="s">
        <v>123</v>
      </c>
      <c r="B55" t="s">
        <v>386</v>
      </c>
    </row>
    <row r="56" spans="1:2" x14ac:dyDescent="0.2">
      <c r="A56" t="s">
        <v>123</v>
      </c>
      <c r="B56" t="s">
        <v>387</v>
      </c>
    </row>
    <row r="57" spans="1:2" x14ac:dyDescent="0.2">
      <c r="A57" t="s">
        <v>120</v>
      </c>
      <c r="B57" t="s">
        <v>388</v>
      </c>
    </row>
    <row r="58" spans="1:2" x14ac:dyDescent="0.2">
      <c r="A58" t="s">
        <v>121</v>
      </c>
      <c r="B58" t="s">
        <v>389</v>
      </c>
    </row>
    <row r="59" spans="1:2" x14ac:dyDescent="0.2">
      <c r="A59" t="s">
        <v>122</v>
      </c>
      <c r="B59" t="s">
        <v>390</v>
      </c>
    </row>
    <row r="60" spans="1:2" x14ac:dyDescent="0.2">
      <c r="A60" t="s">
        <v>123</v>
      </c>
      <c r="B60" t="s">
        <v>391</v>
      </c>
    </row>
  </sheetData>
  <sheetProtection sheet="1" objects="1" scenarios="1" selectLockedCells="1" selectUnlockedCell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9124-B448-45D6-BF92-201A54E09238}">
  <dimension ref="A1:C95"/>
  <sheetViews>
    <sheetView workbookViewId="0">
      <selection activeCell="D39" sqref="D39"/>
    </sheetView>
  </sheetViews>
  <sheetFormatPr baseColWidth="10" defaultRowHeight="14.25" x14ac:dyDescent="0.2"/>
  <cols>
    <col min="1" max="1" width="12.25" bestFit="1" customWidth="1"/>
    <col min="2" max="2" width="11.25" bestFit="1" customWidth="1"/>
    <col min="3" max="3" width="20.375" bestFit="1" customWidth="1"/>
  </cols>
  <sheetData>
    <row r="1" spans="1:3" x14ac:dyDescent="0.2">
      <c r="A1" t="s">
        <v>167</v>
      </c>
      <c r="B1" t="s">
        <v>168</v>
      </c>
      <c r="C1" t="str">
        <f>_xlfn.TEXTJOIN(" ",TRUE,B1,A1)</f>
        <v>Andreas Ammann</v>
      </c>
    </row>
    <row r="2" spans="1:3" x14ac:dyDescent="0.2">
      <c r="A2" t="s">
        <v>169</v>
      </c>
      <c r="B2" t="s">
        <v>170</v>
      </c>
      <c r="C2" t="str">
        <f t="shared" ref="C2:C67" si="0">_xlfn.TEXTJOIN(" ",TRUE,B2,A2)</f>
        <v>Christoph Aeberli</v>
      </c>
    </row>
    <row r="3" spans="1:3" x14ac:dyDescent="0.2">
      <c r="A3" t="s">
        <v>171</v>
      </c>
      <c r="B3" t="s">
        <v>172</v>
      </c>
      <c r="C3" t="str">
        <f t="shared" si="0"/>
        <v>Joran Bagnoud</v>
      </c>
    </row>
    <row r="4" spans="1:3" x14ac:dyDescent="0.2">
      <c r="A4" t="s">
        <v>173</v>
      </c>
      <c r="B4" t="s">
        <v>174</v>
      </c>
      <c r="C4" t="str">
        <f t="shared" si="0"/>
        <v>Stefan Biermann</v>
      </c>
    </row>
    <row r="5" spans="1:3" x14ac:dyDescent="0.2">
      <c r="A5" t="s">
        <v>175</v>
      </c>
      <c r="B5" t="s">
        <v>176</v>
      </c>
      <c r="C5" t="str">
        <f t="shared" si="0"/>
        <v>Joël Blaser</v>
      </c>
    </row>
    <row r="6" spans="1:3" x14ac:dyDescent="0.2">
      <c r="A6" t="s">
        <v>177</v>
      </c>
      <c r="B6" t="s">
        <v>178</v>
      </c>
      <c r="C6" t="str">
        <f t="shared" si="0"/>
        <v>Pascal Bochud</v>
      </c>
    </row>
    <row r="7" spans="1:3" x14ac:dyDescent="0.2">
      <c r="A7" t="s">
        <v>179</v>
      </c>
      <c r="B7" t="s">
        <v>180</v>
      </c>
      <c r="C7" t="str">
        <f t="shared" si="0"/>
        <v>Benoît Breton</v>
      </c>
    </row>
    <row r="8" spans="1:3" x14ac:dyDescent="0.2">
      <c r="A8" t="s">
        <v>181</v>
      </c>
      <c r="B8" t="s">
        <v>182</v>
      </c>
      <c r="C8" t="str">
        <f t="shared" si="0"/>
        <v>Roman Bueche</v>
      </c>
    </row>
    <row r="9" spans="1:3" x14ac:dyDescent="0.2">
      <c r="A9" t="s">
        <v>183</v>
      </c>
      <c r="B9" t="s">
        <v>184</v>
      </c>
      <c r="C9" t="str">
        <f t="shared" si="0"/>
        <v>Daniel Bütschi</v>
      </c>
    </row>
    <row r="10" spans="1:3" x14ac:dyDescent="0.2">
      <c r="A10" t="s">
        <v>185</v>
      </c>
      <c r="B10" t="s">
        <v>186</v>
      </c>
      <c r="C10" t="str">
        <f t="shared" si="0"/>
        <v>Fritz Christen</v>
      </c>
    </row>
    <row r="11" spans="1:3" x14ac:dyDescent="0.2">
      <c r="A11" t="s">
        <v>187</v>
      </c>
      <c r="B11" t="s">
        <v>188</v>
      </c>
      <c r="C11" t="str">
        <f t="shared" si="0"/>
        <v>Adrien Cortat</v>
      </c>
    </row>
    <row r="12" spans="1:3" x14ac:dyDescent="0.2">
      <c r="A12" t="s">
        <v>189</v>
      </c>
      <c r="B12" t="s">
        <v>190</v>
      </c>
      <c r="C12" t="str">
        <f t="shared" si="0"/>
        <v>Alois Dober</v>
      </c>
    </row>
    <row r="13" spans="1:3" x14ac:dyDescent="0.2">
      <c r="A13" t="s">
        <v>189</v>
      </c>
      <c r="B13" t="s">
        <v>190</v>
      </c>
      <c r="C13" t="str">
        <f t="shared" si="0"/>
        <v>Alois Dober</v>
      </c>
    </row>
    <row r="14" spans="1:3" x14ac:dyDescent="0.2">
      <c r="A14" t="s">
        <v>191</v>
      </c>
      <c r="B14" t="s">
        <v>192</v>
      </c>
      <c r="C14" t="str">
        <f t="shared" si="0"/>
        <v>Claude Domont</v>
      </c>
    </row>
    <row r="15" spans="1:3" x14ac:dyDescent="0.2">
      <c r="A15" t="s">
        <v>193</v>
      </c>
      <c r="B15" t="s">
        <v>194</v>
      </c>
      <c r="C15" t="str">
        <f t="shared" si="0"/>
        <v>Rolf Dummermuth</v>
      </c>
    </row>
    <row r="16" spans="1:3" x14ac:dyDescent="0.2">
      <c r="A16" t="s">
        <v>195</v>
      </c>
      <c r="B16" t="s">
        <v>196</v>
      </c>
      <c r="C16" t="str">
        <f t="shared" si="0"/>
        <v>Simon Dürig</v>
      </c>
    </row>
    <row r="17" spans="1:3" x14ac:dyDescent="0.2">
      <c r="A17" t="s">
        <v>197</v>
      </c>
      <c r="B17" t="s">
        <v>198</v>
      </c>
      <c r="C17" t="str">
        <f t="shared" si="0"/>
        <v>Marco Etter</v>
      </c>
    </row>
    <row r="18" spans="1:3" x14ac:dyDescent="0.2">
      <c r="A18" t="s">
        <v>199</v>
      </c>
      <c r="B18" t="s">
        <v>200</v>
      </c>
      <c r="C18" t="str">
        <f t="shared" si="0"/>
        <v>Hansueli Eugster</v>
      </c>
    </row>
    <row r="19" spans="1:3" x14ac:dyDescent="0.2">
      <c r="A19" t="s">
        <v>201</v>
      </c>
      <c r="B19" t="s">
        <v>202</v>
      </c>
      <c r="C19" t="str">
        <f t="shared" si="0"/>
        <v>Jean-Marc Friedli</v>
      </c>
    </row>
    <row r="20" spans="1:3" x14ac:dyDescent="0.2">
      <c r="A20" t="s">
        <v>203</v>
      </c>
      <c r="B20" t="s">
        <v>204</v>
      </c>
      <c r="C20" t="str">
        <f t="shared" si="0"/>
        <v>René Frutschi</v>
      </c>
    </row>
    <row r="21" spans="1:3" x14ac:dyDescent="0.2">
      <c r="A21" t="s">
        <v>205</v>
      </c>
      <c r="B21" t="s">
        <v>206</v>
      </c>
      <c r="C21" t="str">
        <f t="shared" si="0"/>
        <v>Simon Patrik Gagstätter</v>
      </c>
    </row>
    <row r="22" spans="1:3" x14ac:dyDescent="0.2">
      <c r="A22" t="s">
        <v>207</v>
      </c>
      <c r="B22" t="s">
        <v>208</v>
      </c>
      <c r="C22" t="str">
        <f t="shared" si="0"/>
        <v>Alessia Galli</v>
      </c>
    </row>
    <row r="23" spans="1:3" x14ac:dyDescent="0.2">
      <c r="A23" t="s">
        <v>209</v>
      </c>
      <c r="B23" t="s">
        <v>210</v>
      </c>
      <c r="C23" t="str">
        <f t="shared" si="0"/>
        <v>Tim Geissbühler</v>
      </c>
    </row>
    <row r="24" spans="1:3" x14ac:dyDescent="0.2">
      <c r="A24" t="s">
        <v>211</v>
      </c>
      <c r="B24" t="s">
        <v>212</v>
      </c>
      <c r="C24" t="str">
        <f t="shared" si="0"/>
        <v>Christian Gerber</v>
      </c>
    </row>
    <row r="25" spans="1:3" x14ac:dyDescent="0.2">
      <c r="A25" t="s">
        <v>213</v>
      </c>
      <c r="B25" t="s">
        <v>214</v>
      </c>
      <c r="C25" t="str">
        <f t="shared" si="0"/>
        <v>Mattia Gertsch</v>
      </c>
    </row>
    <row r="26" spans="1:3" x14ac:dyDescent="0.2">
      <c r="A26" t="s">
        <v>215</v>
      </c>
      <c r="B26" t="s">
        <v>216</v>
      </c>
      <c r="C26" t="str">
        <f t="shared" si="0"/>
        <v>Silas Gigon</v>
      </c>
    </row>
    <row r="27" spans="1:3" x14ac:dyDescent="0.2">
      <c r="A27" t="s">
        <v>217</v>
      </c>
      <c r="B27" t="s">
        <v>218</v>
      </c>
      <c r="C27" t="str">
        <f t="shared" si="0"/>
        <v>Nicolas Greusing</v>
      </c>
    </row>
    <row r="28" spans="1:3" x14ac:dyDescent="0.2">
      <c r="A28" t="s">
        <v>219</v>
      </c>
      <c r="B28" t="s">
        <v>184</v>
      </c>
      <c r="C28" t="str">
        <f t="shared" si="0"/>
        <v>Daniel Grossmann</v>
      </c>
    </row>
    <row r="29" spans="1:3" x14ac:dyDescent="0.2">
      <c r="A29" t="s">
        <v>220</v>
      </c>
      <c r="B29" t="s">
        <v>221</v>
      </c>
      <c r="C29" t="str">
        <f t="shared" si="0"/>
        <v>Vera Grubenmann</v>
      </c>
    </row>
    <row r="30" spans="1:3" x14ac:dyDescent="0.2">
      <c r="A30" t="s">
        <v>222</v>
      </c>
      <c r="B30" t="s">
        <v>184</v>
      </c>
      <c r="C30" t="str">
        <f t="shared" si="0"/>
        <v>Daniel Guggisberg</v>
      </c>
    </row>
    <row r="31" spans="1:3" x14ac:dyDescent="0.2">
      <c r="A31" t="s">
        <v>223</v>
      </c>
      <c r="B31" t="s">
        <v>224</v>
      </c>
      <c r="C31" t="str">
        <f t="shared" si="0"/>
        <v>Thomas Gut</v>
      </c>
    </row>
    <row r="32" spans="1:3" x14ac:dyDescent="0.2">
      <c r="A32" t="s">
        <v>225</v>
      </c>
      <c r="B32" t="s">
        <v>226</v>
      </c>
      <c r="C32" t="str">
        <f t="shared" si="0"/>
        <v>Hansjörg Habegger</v>
      </c>
    </row>
    <row r="33" spans="1:3" x14ac:dyDescent="0.2">
      <c r="A33" t="s">
        <v>227</v>
      </c>
      <c r="B33" t="s">
        <v>228</v>
      </c>
      <c r="C33" t="str">
        <f t="shared" si="0"/>
        <v>Martin Haider</v>
      </c>
    </row>
    <row r="34" spans="1:3" x14ac:dyDescent="0.2">
      <c r="A34" t="s">
        <v>229</v>
      </c>
      <c r="B34" t="s">
        <v>230</v>
      </c>
      <c r="C34" t="str">
        <f t="shared" si="0"/>
        <v>Yves Haymoz</v>
      </c>
    </row>
    <row r="35" spans="1:3" x14ac:dyDescent="0.2">
      <c r="A35" t="s">
        <v>231</v>
      </c>
      <c r="B35" t="s">
        <v>232</v>
      </c>
      <c r="C35" t="str">
        <f t="shared" si="0"/>
        <v>Jonas Heuberger</v>
      </c>
    </row>
    <row r="36" spans="1:3" x14ac:dyDescent="0.2">
      <c r="A36" t="s">
        <v>233</v>
      </c>
      <c r="B36" t="s">
        <v>234</v>
      </c>
      <c r="C36" t="str">
        <f t="shared" si="0"/>
        <v>Konstantin Hitz</v>
      </c>
    </row>
    <row r="37" spans="1:3" x14ac:dyDescent="0.2">
      <c r="A37" t="s">
        <v>235</v>
      </c>
      <c r="B37" t="s">
        <v>236</v>
      </c>
      <c r="C37" t="str">
        <f t="shared" si="0"/>
        <v>Nathanael Hochhuth</v>
      </c>
    </row>
    <row r="38" spans="1:3" x14ac:dyDescent="0.2">
      <c r="A38" t="s">
        <v>237</v>
      </c>
      <c r="B38" t="s">
        <v>238</v>
      </c>
      <c r="C38" t="str">
        <f t="shared" si="0"/>
        <v>Beat Hofer</v>
      </c>
    </row>
    <row r="39" spans="1:3" x14ac:dyDescent="0.2">
      <c r="A39" t="s">
        <v>479</v>
      </c>
      <c r="B39" t="s">
        <v>232</v>
      </c>
      <c r="C39" t="str">
        <f t="shared" si="0"/>
        <v>Jonas Hochuli</v>
      </c>
    </row>
    <row r="40" spans="1:3" x14ac:dyDescent="0.2">
      <c r="A40" t="s">
        <v>239</v>
      </c>
      <c r="B40" t="s">
        <v>240</v>
      </c>
      <c r="C40" t="str">
        <f t="shared" si="0"/>
        <v>André Jaussi</v>
      </c>
    </row>
    <row r="41" spans="1:3" x14ac:dyDescent="0.2">
      <c r="A41" t="s">
        <v>241</v>
      </c>
      <c r="B41" t="s">
        <v>176</v>
      </c>
      <c r="C41" t="str">
        <f t="shared" si="0"/>
        <v>Joël Jenny</v>
      </c>
    </row>
    <row r="42" spans="1:3" x14ac:dyDescent="0.2">
      <c r="A42" t="s">
        <v>242</v>
      </c>
      <c r="B42" t="s">
        <v>243</v>
      </c>
      <c r="C42" t="str">
        <f t="shared" si="0"/>
        <v>Fredy Keller</v>
      </c>
    </row>
    <row r="43" spans="1:3" x14ac:dyDescent="0.2">
      <c r="A43" t="s">
        <v>244</v>
      </c>
      <c r="B43" t="s">
        <v>245</v>
      </c>
      <c r="C43" t="str">
        <f t="shared" si="0"/>
        <v>Florian Kislig</v>
      </c>
    </row>
    <row r="44" spans="1:3" x14ac:dyDescent="0.2">
      <c r="A44" t="s">
        <v>246</v>
      </c>
      <c r="B44" t="s">
        <v>247</v>
      </c>
      <c r="C44" t="str">
        <f t="shared" si="0"/>
        <v>Mario Krähenbühl</v>
      </c>
    </row>
    <row r="45" spans="1:3" x14ac:dyDescent="0.2">
      <c r="A45" t="s">
        <v>248</v>
      </c>
      <c r="B45" t="s">
        <v>204</v>
      </c>
      <c r="C45" t="str">
        <f t="shared" si="0"/>
        <v>René Lauper</v>
      </c>
    </row>
    <row r="46" spans="1:3" x14ac:dyDescent="0.2">
      <c r="A46" t="s">
        <v>249</v>
      </c>
      <c r="B46" t="s">
        <v>250</v>
      </c>
      <c r="C46" t="str">
        <f t="shared" si="0"/>
        <v>Werner Lempen</v>
      </c>
    </row>
    <row r="47" spans="1:3" x14ac:dyDescent="0.2">
      <c r="A47" t="s">
        <v>251</v>
      </c>
      <c r="B47" t="s">
        <v>252</v>
      </c>
      <c r="C47" t="str">
        <f t="shared" si="0"/>
        <v>Gloria Locatelli</v>
      </c>
    </row>
    <row r="48" spans="1:3" x14ac:dyDescent="0.2">
      <c r="A48" t="s">
        <v>253</v>
      </c>
      <c r="B48" t="s">
        <v>254</v>
      </c>
      <c r="C48" t="str">
        <f t="shared" si="0"/>
        <v>Cédric Locher</v>
      </c>
    </row>
    <row r="49" spans="1:3" x14ac:dyDescent="0.2">
      <c r="A49" t="s">
        <v>255</v>
      </c>
      <c r="B49" t="s">
        <v>256</v>
      </c>
      <c r="C49" t="str">
        <f t="shared" si="0"/>
        <v>Hanspeter Luginbühl</v>
      </c>
    </row>
    <row r="50" spans="1:3" x14ac:dyDescent="0.2">
      <c r="A50" t="s">
        <v>478</v>
      </c>
      <c r="B50" t="s">
        <v>295</v>
      </c>
      <c r="C50" t="str">
        <f t="shared" si="0"/>
        <v>Marc Maeder</v>
      </c>
    </row>
    <row r="51" spans="1:3" x14ac:dyDescent="0.2">
      <c r="A51" t="s">
        <v>257</v>
      </c>
      <c r="B51" t="s">
        <v>258</v>
      </c>
      <c r="C51" t="str">
        <f t="shared" si="0"/>
        <v xml:space="preserve">Marcel Mahon </v>
      </c>
    </row>
    <row r="52" spans="1:3" x14ac:dyDescent="0.2">
      <c r="A52" t="s">
        <v>259</v>
      </c>
      <c r="B52" t="s">
        <v>260</v>
      </c>
      <c r="C52" t="str">
        <f t="shared" si="0"/>
        <v>Flora Märki</v>
      </c>
    </row>
    <row r="53" spans="1:3" x14ac:dyDescent="0.2">
      <c r="A53" t="s">
        <v>261</v>
      </c>
      <c r="B53" t="s">
        <v>262</v>
      </c>
      <c r="C53" t="str">
        <f t="shared" si="0"/>
        <v>Reto Melcher</v>
      </c>
    </row>
    <row r="54" spans="1:3" x14ac:dyDescent="0.2">
      <c r="A54" t="s">
        <v>263</v>
      </c>
      <c r="B54" t="s">
        <v>264</v>
      </c>
      <c r="C54" t="str">
        <f t="shared" si="0"/>
        <v>Philippe Mottet</v>
      </c>
    </row>
    <row r="55" spans="1:3" x14ac:dyDescent="0.2">
      <c r="A55" t="s">
        <v>265</v>
      </c>
      <c r="B55" t="s">
        <v>266</v>
      </c>
      <c r="C55" t="str">
        <f t="shared" si="0"/>
        <v>Markus Moser</v>
      </c>
    </row>
    <row r="56" spans="1:3" x14ac:dyDescent="0.2">
      <c r="A56" t="s">
        <v>267</v>
      </c>
      <c r="B56" t="s">
        <v>268</v>
      </c>
      <c r="C56" t="str">
        <f t="shared" si="0"/>
        <v>Luis Muheim</v>
      </c>
    </row>
    <row r="57" spans="1:3" x14ac:dyDescent="0.2">
      <c r="A57" t="s">
        <v>269</v>
      </c>
      <c r="B57" t="s">
        <v>270</v>
      </c>
      <c r="C57" t="str">
        <f t="shared" si="0"/>
        <v>Dieter Müller</v>
      </c>
    </row>
    <row r="58" spans="1:3" x14ac:dyDescent="0.2">
      <c r="A58" t="s">
        <v>271</v>
      </c>
      <c r="B58" t="s">
        <v>272</v>
      </c>
      <c r="C58" t="str">
        <f t="shared" si="0"/>
        <v>Timm Näpflin</v>
      </c>
    </row>
    <row r="59" spans="1:3" x14ac:dyDescent="0.2">
      <c r="A59" t="s">
        <v>273</v>
      </c>
      <c r="B59" t="s">
        <v>274</v>
      </c>
      <c r="C59" t="str">
        <f t="shared" si="0"/>
        <v>J.-Charles Noirjean</v>
      </c>
    </row>
    <row r="60" spans="1:3" x14ac:dyDescent="0.2">
      <c r="A60" t="s">
        <v>275</v>
      </c>
      <c r="B60" t="s">
        <v>276</v>
      </c>
      <c r="C60" t="str">
        <f t="shared" si="0"/>
        <v>Toni Oppliger</v>
      </c>
    </row>
    <row r="61" spans="1:3" x14ac:dyDescent="0.2">
      <c r="A61" t="s">
        <v>277</v>
      </c>
      <c r="B61" t="s">
        <v>278</v>
      </c>
      <c r="C61" t="str">
        <f t="shared" si="0"/>
        <v>Kyra Pauli</v>
      </c>
    </row>
    <row r="62" spans="1:3" x14ac:dyDescent="0.2">
      <c r="A62" t="s">
        <v>279</v>
      </c>
      <c r="B62" t="s">
        <v>280</v>
      </c>
      <c r="C62" t="str">
        <f t="shared" si="0"/>
        <v>Livio Pedrelli</v>
      </c>
    </row>
    <row r="63" spans="1:3" x14ac:dyDescent="0.2">
      <c r="A63" t="s">
        <v>281</v>
      </c>
      <c r="B63" t="s">
        <v>282</v>
      </c>
      <c r="C63" t="str">
        <f t="shared" si="0"/>
        <v>Michael Peluso</v>
      </c>
    </row>
    <row r="64" spans="1:3" x14ac:dyDescent="0.2">
      <c r="A64" t="s">
        <v>283</v>
      </c>
      <c r="B64" t="s">
        <v>284</v>
      </c>
      <c r="C64" t="str">
        <f t="shared" si="0"/>
        <v>Roland Perren</v>
      </c>
    </row>
    <row r="65" spans="1:3" x14ac:dyDescent="0.2">
      <c r="A65" t="s">
        <v>285</v>
      </c>
      <c r="B65" t="s">
        <v>228</v>
      </c>
      <c r="C65" t="str">
        <f t="shared" si="0"/>
        <v>Martin Rathgeb</v>
      </c>
    </row>
    <row r="66" spans="1:3" x14ac:dyDescent="0.2">
      <c r="A66" t="s">
        <v>286</v>
      </c>
      <c r="B66" t="s">
        <v>238</v>
      </c>
      <c r="C66" t="str">
        <f t="shared" si="0"/>
        <v>Beat Reber</v>
      </c>
    </row>
    <row r="67" spans="1:3" x14ac:dyDescent="0.2">
      <c r="A67" t="s">
        <v>287</v>
      </c>
      <c r="B67" t="s">
        <v>196</v>
      </c>
      <c r="C67" t="str">
        <f t="shared" si="0"/>
        <v>Simon Rieben</v>
      </c>
    </row>
    <row r="68" spans="1:3" x14ac:dyDescent="0.2">
      <c r="A68" t="s">
        <v>288</v>
      </c>
      <c r="B68" t="s">
        <v>266</v>
      </c>
      <c r="C68" t="str">
        <f t="shared" ref="C68:C95" si="1">_xlfn.TEXTJOIN(" ",TRUE,B68,A68)</f>
        <v>Markus Rüfenacht</v>
      </c>
    </row>
    <row r="69" spans="1:3" x14ac:dyDescent="0.2">
      <c r="A69" t="s">
        <v>289</v>
      </c>
      <c r="B69" t="s">
        <v>186</v>
      </c>
      <c r="C69" t="str">
        <f t="shared" si="1"/>
        <v>Fritz Salzmann</v>
      </c>
    </row>
    <row r="70" spans="1:3" x14ac:dyDescent="0.2">
      <c r="A70" t="s">
        <v>289</v>
      </c>
      <c r="B70" t="s">
        <v>196</v>
      </c>
      <c r="C70" t="str">
        <f t="shared" si="1"/>
        <v>Simon Salzmann</v>
      </c>
    </row>
    <row r="71" spans="1:3" x14ac:dyDescent="0.2">
      <c r="A71" t="s">
        <v>290</v>
      </c>
      <c r="B71" t="s">
        <v>228</v>
      </c>
      <c r="C71" t="str">
        <f t="shared" si="1"/>
        <v>Martin Schenk</v>
      </c>
    </row>
    <row r="72" spans="1:3" x14ac:dyDescent="0.2">
      <c r="A72" t="s">
        <v>290</v>
      </c>
      <c r="B72" t="s">
        <v>282</v>
      </c>
      <c r="C72" t="str">
        <f t="shared" si="1"/>
        <v>Michael Schenk</v>
      </c>
    </row>
    <row r="73" spans="1:3" x14ac:dyDescent="0.2">
      <c r="A73" t="s">
        <v>291</v>
      </c>
      <c r="B73" t="s">
        <v>292</v>
      </c>
      <c r="C73" t="str">
        <f t="shared" si="1"/>
        <v>Hans Rudolf Scheuner</v>
      </c>
    </row>
    <row r="74" spans="1:3" x14ac:dyDescent="0.2">
      <c r="A74" t="s">
        <v>293</v>
      </c>
      <c r="B74" t="s">
        <v>295</v>
      </c>
      <c r="C74" t="str">
        <f t="shared" si="1"/>
        <v>Marc Schnee-</v>
      </c>
    </row>
    <row r="75" spans="1:3" x14ac:dyDescent="0.2">
      <c r="A75" t="s">
        <v>294</v>
      </c>
      <c r="C75" t="str">
        <f t="shared" si="1"/>
        <v>berger</v>
      </c>
    </row>
    <row r="76" spans="1:3" x14ac:dyDescent="0.2">
      <c r="A76" t="s">
        <v>296</v>
      </c>
      <c r="B76" t="s">
        <v>184</v>
      </c>
      <c r="C76" t="str">
        <f t="shared" si="1"/>
        <v>Daniel Schneider</v>
      </c>
    </row>
    <row r="77" spans="1:3" x14ac:dyDescent="0.2">
      <c r="A77" t="s">
        <v>297</v>
      </c>
      <c r="B77" t="s">
        <v>168</v>
      </c>
      <c r="C77" t="str">
        <f t="shared" si="1"/>
        <v xml:space="preserve">Andreas Schweizer </v>
      </c>
    </row>
    <row r="78" spans="1:3" x14ac:dyDescent="0.2">
      <c r="A78" t="s">
        <v>298</v>
      </c>
      <c r="B78" t="s">
        <v>299</v>
      </c>
      <c r="C78" t="str">
        <f t="shared" si="1"/>
        <v>Rudolf Schweizer</v>
      </c>
    </row>
    <row r="79" spans="1:3" x14ac:dyDescent="0.2">
      <c r="A79" t="s">
        <v>300</v>
      </c>
      <c r="B79" t="s">
        <v>301</v>
      </c>
      <c r="C79" t="str">
        <f t="shared" si="1"/>
        <v>Andrea Spahr</v>
      </c>
    </row>
    <row r="80" spans="1:3" x14ac:dyDescent="0.2">
      <c r="A80" t="s">
        <v>302</v>
      </c>
      <c r="B80" t="s">
        <v>303</v>
      </c>
      <c r="C80" t="str">
        <f t="shared" si="1"/>
        <v>Hans Steffen</v>
      </c>
    </row>
    <row r="81" spans="1:3" x14ac:dyDescent="0.2">
      <c r="A81" t="s">
        <v>304</v>
      </c>
      <c r="B81" t="s">
        <v>228</v>
      </c>
      <c r="C81" t="str">
        <f t="shared" si="1"/>
        <v>Martin Thurnherr</v>
      </c>
    </row>
    <row r="82" spans="1:3" x14ac:dyDescent="0.2">
      <c r="A82" t="s">
        <v>305</v>
      </c>
      <c r="B82" t="s">
        <v>306</v>
      </c>
      <c r="C82" t="str">
        <f t="shared" si="1"/>
        <v>Fabien Treichler</v>
      </c>
    </row>
    <row r="83" spans="1:3" x14ac:dyDescent="0.2">
      <c r="A83" t="s">
        <v>307</v>
      </c>
      <c r="B83" t="s">
        <v>174</v>
      </c>
      <c r="C83" t="str">
        <f t="shared" si="1"/>
        <v>Stefan Waeber</v>
      </c>
    </row>
    <row r="84" spans="1:3" x14ac:dyDescent="0.2">
      <c r="A84" t="s">
        <v>308</v>
      </c>
      <c r="B84" t="s">
        <v>295</v>
      </c>
      <c r="C84" t="str">
        <f t="shared" si="1"/>
        <v>Marc Walther</v>
      </c>
    </row>
    <row r="85" spans="1:3" x14ac:dyDescent="0.2">
      <c r="A85" t="s">
        <v>308</v>
      </c>
      <c r="B85" t="s">
        <v>224</v>
      </c>
      <c r="C85" t="str">
        <f t="shared" si="1"/>
        <v>Thomas Walther</v>
      </c>
    </row>
    <row r="86" spans="1:3" x14ac:dyDescent="0.2">
      <c r="A86" t="s">
        <v>309</v>
      </c>
      <c r="B86" t="s">
        <v>310</v>
      </c>
      <c r="C86" t="str">
        <f t="shared" si="1"/>
        <v>Björn Weber</v>
      </c>
    </row>
    <row r="87" spans="1:3" x14ac:dyDescent="0.2">
      <c r="A87" t="s">
        <v>311</v>
      </c>
      <c r="B87" t="s">
        <v>312</v>
      </c>
      <c r="C87" t="str">
        <f t="shared" si="1"/>
        <v>Dario Wegmüller</v>
      </c>
    </row>
    <row r="88" spans="1:3" x14ac:dyDescent="0.2">
      <c r="A88" t="s">
        <v>313</v>
      </c>
      <c r="B88" t="s">
        <v>314</v>
      </c>
      <c r="C88" t="str">
        <f t="shared" si="1"/>
        <v>Stefanie Weindler</v>
      </c>
    </row>
    <row r="89" spans="1:3" x14ac:dyDescent="0.2">
      <c r="A89" t="s">
        <v>315</v>
      </c>
      <c r="B89" t="s">
        <v>174</v>
      </c>
      <c r="C89" t="str">
        <f t="shared" si="1"/>
        <v>Stefan Wenger</v>
      </c>
    </row>
    <row r="90" spans="1:3" x14ac:dyDescent="0.2">
      <c r="A90" t="s">
        <v>316</v>
      </c>
      <c r="B90" t="s">
        <v>317</v>
      </c>
      <c r="C90" t="str">
        <f t="shared" si="1"/>
        <v>Hermann Werlen</v>
      </c>
    </row>
    <row r="91" spans="1:3" x14ac:dyDescent="0.2">
      <c r="A91" t="s">
        <v>318</v>
      </c>
      <c r="B91" t="s">
        <v>168</v>
      </c>
      <c r="C91" t="str">
        <f t="shared" si="1"/>
        <v>Andreas Werren</v>
      </c>
    </row>
    <row r="92" spans="1:3" x14ac:dyDescent="0.2">
      <c r="A92" t="s">
        <v>319</v>
      </c>
      <c r="B92" t="s">
        <v>320</v>
      </c>
      <c r="C92" t="str">
        <f t="shared" si="1"/>
        <v>Quirinus Wyttenbach</v>
      </c>
    </row>
    <row r="93" spans="1:3" x14ac:dyDescent="0.2">
      <c r="A93" t="s">
        <v>321</v>
      </c>
      <c r="B93" t="s">
        <v>322</v>
      </c>
      <c r="C93" t="str">
        <f t="shared" si="1"/>
        <v>Christina Zumbrunn</v>
      </c>
    </row>
    <row r="94" spans="1:3" x14ac:dyDescent="0.2">
      <c r="A94" t="s">
        <v>323</v>
      </c>
      <c r="B94" t="s">
        <v>238</v>
      </c>
      <c r="C94" t="str">
        <f t="shared" si="1"/>
        <v>Beat Zurbuchen</v>
      </c>
    </row>
    <row r="95" spans="1:3" x14ac:dyDescent="0.2">
      <c r="A95" t="s">
        <v>324</v>
      </c>
      <c r="B95" t="s">
        <v>266</v>
      </c>
      <c r="C95" t="str">
        <f t="shared" si="1"/>
        <v>Markus Zwahlen</v>
      </c>
    </row>
  </sheetData>
  <sheetProtection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89486B-C155-4C04-9FE1-2BA3A92793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Eingabe</vt:lpstr>
      <vt:lpstr>Subventionsantrag</vt:lpstr>
      <vt:lpstr>Auszahlungsinformation</vt:lpstr>
      <vt:lpstr>Berechnung</vt:lpstr>
      <vt:lpstr>Grundlagen</vt:lpstr>
      <vt:lpstr>Briefkopf</vt:lpstr>
      <vt:lpstr>Reviere_WA</vt:lpstr>
      <vt:lpstr>Forstfachperson</vt:lpstr>
      <vt:lpstr>Auszahlungsinformation!_ftn1</vt:lpstr>
      <vt:lpstr>Auszahlungsinformation!_Hlk14861871</vt:lpstr>
      <vt:lpstr>Auszahlungsinformation!Amt</vt:lpstr>
      <vt:lpstr>Auszahlungsinformation!EMail_Amt</vt:lpstr>
      <vt:lpstr>Auszahlungsinformation!Funktion</vt:lpstr>
      <vt:lpstr>Auszahlungsinformation!GrussRechts</vt:lpstr>
      <vt:lpstr>Auszahlungsinformation!Name</vt:lpstr>
      <vt:lpstr>Auszahlungsinformation!Name_1</vt:lpstr>
      <vt:lpstr>Auszahlungsinformation!OEBezeichnung</vt:lpstr>
      <vt:lpstr>Auszahlungsinformation!OEBezeichnung_3</vt:lpstr>
      <vt:lpstr>Auszahlungsinformation!PLZ_Ort</vt:lpstr>
      <vt:lpstr>Auszahlungsinformation!PLZ_ORT_1</vt:lpstr>
      <vt:lpstr>Auszahlungsinformation!Rufnummer</vt:lpstr>
      <vt:lpstr>Auszahlungsinformation!Strasse</vt:lpstr>
      <vt:lpstr>Auszahlungsinformation!Tel_Amt</vt:lpstr>
      <vt:lpstr>Auszahlungsinformation!www_Amt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Angélique, WEU-AWN-AFR</dc:creator>
  <dc:description>V01-2020-02-06</dc:description>
  <cp:lastModifiedBy>Herzig Angélique, WEU-AWN-AFR</cp:lastModifiedBy>
  <cp:lastPrinted>2026-09-16T10:58:58Z</cp:lastPrinted>
  <dcterms:created xsi:type="dcterms:W3CDTF">2017-01-27T10:03:10Z</dcterms:created>
  <dcterms:modified xsi:type="dcterms:W3CDTF">2026-10-08T11:38:47Z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2026-09-04T11:53:47Z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ed9e329c-4c98-4b07-8fa7-5d3d226e7f21</vt:lpwstr>
  </property>
  <property fmtid="{D5CDD505-2E9C-101B-9397-08002B2CF9AE}" pid="8" name="MSIP_Label_74fdd986-87d9-48c6-acda-407b1ab5fef0_ContentBits">
    <vt:lpwstr>0</vt:lpwstr>
  </property>
  <property fmtid="{D5CDD505-2E9C-101B-9397-08002B2CF9AE}" pid="9" name="MSIP_Label_74fdd986-87d9-48c6-acda-407b1ab5fef0_Tag">
    <vt:lpwstr>10, 3, 0, 1</vt:lpwstr>
  </property>
</Properties>
</file>