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76a-cfs-user.infra.be.ch\a76a-cfs-user\UserHomes\mhts\Z_Systems\RedirectedFolders\Desktop\"/>
    </mc:Choice>
  </mc:AlternateContent>
  <bookViews>
    <workbookView xWindow="1575" yWindow="-135" windowWidth="14310" windowHeight="14100" tabRatio="744"/>
  </bookViews>
  <sheets>
    <sheet name="1.1_NAIS-Projektgrundlagen" sheetId="31" r:id="rId1"/>
    <sheet name="1.2_NAIS-Handlungsbedarf" sheetId="32" r:id="rId2"/>
    <sheet name="2_BM_Lawinen-Steinschlag" sheetId="33" r:id="rId3"/>
    <sheet name="3.1_Beurteilung_Rutsch-Hangmur" sheetId="35" r:id="rId4"/>
    <sheet name="3.2_BM_Rutschung-Hangmuren" sheetId="34" r:id="rId5"/>
    <sheet name="4_Anzeichnungsprotokoll" sheetId="14" r:id="rId6"/>
    <sheet name="5_Pauschalansätze_HR_E" sheetId="46" r:id="rId7"/>
    <sheet name="6_Beitragsgesuch_OSW" sheetId="30" r:id="rId8"/>
    <sheet name="7_Grundsatzvereinbarung" sheetId="38" r:id="rId9"/>
    <sheet name="8_Kalkulation" sheetId="37" r:id="rId10"/>
    <sheet name="Durchmessertabelle" sheetId="18" state="hidden" r:id="rId11"/>
    <sheet name="Pauschalansätze etc." sheetId="47" state="hidden" r:id="rId12"/>
    <sheet name="9_Rollen_und_Prozesse" sheetId="41" r:id="rId13"/>
    <sheet name="10_Tariftabelle" sheetId="16" r:id="rId14"/>
  </sheets>
  <definedNames>
    <definedName name="_ftn1" localSheetId="8">'7_Grundsatzvereinbarung'!$B$136</definedName>
    <definedName name="_ftnref1" localSheetId="8">'7_Grundsatzvereinbarung'!$B$91</definedName>
    <definedName name="_Grundpauschale_LS">#REF!</definedName>
    <definedName name="_Ref199726987" localSheetId="8">'7_Grundsatzvereinbarung'!$B$37</definedName>
    <definedName name="_Ref199730802" localSheetId="8">'7_Grundsatzvereinbarung'!$B$115</definedName>
    <definedName name="_Ref199734738" localSheetId="8">'7_Grundsatzvereinbarung'!$B$128</definedName>
    <definedName name="Auswahl_LS">#REF!</definedName>
    <definedName name="Auswahl_RH">#REF!</definedName>
    <definedName name="_xlnm.Print_Area" localSheetId="6">'5_Pauschalansätze_HR_E'!$A$1:$G$61</definedName>
    <definedName name="_xlnm.Print_Area" localSheetId="9">'8_Kalkulation'!$A$1:$G$59</definedName>
    <definedName name="Grundpauschale_A">#REF!</definedName>
    <definedName name="Grundpauschale_A0">#REF!</definedName>
    <definedName name="Grundpauschale_A10">#REF!</definedName>
    <definedName name="Grundpauschale_A20">#REF!</definedName>
    <definedName name="Grundpauschale_B0">#REF!</definedName>
    <definedName name="Grundpauschale_B1">#REF!</definedName>
    <definedName name="Grundpauschale_B10">#REF!</definedName>
    <definedName name="Grundpauschale_B2">#REF!</definedName>
    <definedName name="Grundpauschale_B20">#REF!</definedName>
    <definedName name="Grundpauschale_C0">#REF!</definedName>
    <definedName name="Grundpauschale_C10">#REF!</definedName>
    <definedName name="Grundpauschale_C20">#REF!</definedName>
    <definedName name="Grundpauschale_D0">#REF!</definedName>
    <definedName name="Grundpauschale_D10">#REF!</definedName>
    <definedName name="Grundpauschale_D20">#REF!</definedName>
    <definedName name="Grundpauschale_E">#REF!</definedName>
    <definedName name="Grundpauschale_F">#REF!</definedName>
    <definedName name="GrundpauschaleB20">#REF!</definedName>
    <definedName name="Kalkulation2">#REF!</definedName>
    <definedName name="LbH">#REF!</definedName>
    <definedName name="Massnahmen" localSheetId="9">'8_Kalkulation'!$I$3:$I$7</definedName>
    <definedName name="Massnahmen">#REF!</definedName>
    <definedName name="Pauschalen_LS">#REF!</definedName>
    <definedName name="Pauschalen_LS_1">#REF!</definedName>
    <definedName name="Pauschalen_RH">#REF!</definedName>
    <definedName name="Pauschalen_RH_1">#REF!</definedName>
    <definedName name="WaZZ">#REF!</definedName>
    <definedName name="Weiserflächen">#REF!:#REF!</definedName>
    <definedName name="WeZZ">#REF!</definedName>
    <definedName name="WZZ">#REF!</definedName>
  </definedNames>
  <calcPr calcId="162913"/>
</workbook>
</file>

<file path=xl/calcChain.xml><?xml version="1.0" encoding="utf-8"?>
<calcChain xmlns="http://schemas.openxmlformats.org/spreadsheetml/2006/main">
  <c r="C28" i="35" l="1"/>
  <c r="AA62" i="30" l="1"/>
  <c r="AA61" i="30"/>
  <c r="AA60" i="30"/>
  <c r="AI17" i="30"/>
  <c r="AT18" i="47" l="1"/>
  <c r="AT19" i="47"/>
  <c r="AT20" i="47"/>
  <c r="AT17" i="47"/>
  <c r="AS18" i="47"/>
  <c r="AU18" i="47" s="1"/>
  <c r="AV18" i="47" s="1"/>
  <c r="AS19" i="47"/>
  <c r="AU19" i="47" s="1"/>
  <c r="AV19" i="47" s="1"/>
  <c r="AS20" i="47"/>
  <c r="AS17" i="47"/>
  <c r="AW18" i="47"/>
  <c r="AZ18" i="47"/>
  <c r="AW19" i="47"/>
  <c r="AZ19" i="47"/>
  <c r="AW20" i="47"/>
  <c r="AZ20" i="47"/>
  <c r="AP18" i="47"/>
  <c r="AP19" i="47"/>
  <c r="AP20" i="47"/>
  <c r="AZ17" i="47"/>
  <c r="AW17" i="47"/>
  <c r="AP17" i="47"/>
  <c r="AO18" i="47"/>
  <c r="AO19" i="47"/>
  <c r="AO20" i="47"/>
  <c r="AO17" i="47"/>
  <c r="AU20" i="47" l="1"/>
  <c r="AV20" i="47" s="1"/>
  <c r="AU17" i="47"/>
  <c r="AV17" i="47" s="1"/>
  <c r="BA19" i="47"/>
  <c r="BB19" i="47" s="1"/>
  <c r="AX20" i="47"/>
  <c r="AY20" i="47" s="1"/>
  <c r="AQ19" i="47"/>
  <c r="AR19" i="47" s="1"/>
  <c r="BA18" i="47"/>
  <c r="BB18" i="47" s="1"/>
  <c r="AQ20" i="47"/>
  <c r="AR20" i="47" s="1"/>
  <c r="AX18" i="47"/>
  <c r="AY18" i="47" s="1"/>
  <c r="AX19" i="47"/>
  <c r="AY19" i="47" s="1"/>
  <c r="AQ18" i="47"/>
  <c r="AR18" i="47" s="1"/>
  <c r="BA20" i="47"/>
  <c r="BB20" i="47" s="1"/>
  <c r="W80" i="14" l="1"/>
  <c r="O80" i="14"/>
  <c r="K80" i="14"/>
  <c r="G80" i="14"/>
  <c r="C80" i="14"/>
  <c r="Y51" i="14"/>
  <c r="V51" i="14"/>
  <c r="S51" i="14"/>
  <c r="P51" i="14"/>
  <c r="M51" i="14"/>
  <c r="J51" i="14"/>
  <c r="G51" i="14"/>
  <c r="W18" i="47"/>
  <c r="X18" i="47"/>
  <c r="Y18" i="47"/>
  <c r="Z18" i="47"/>
  <c r="W19" i="47"/>
  <c r="X19" i="47"/>
  <c r="Y19" i="47"/>
  <c r="Z19" i="47"/>
  <c r="W20" i="47"/>
  <c r="X20" i="47"/>
  <c r="Y20" i="47"/>
  <c r="Z20" i="47"/>
  <c r="V20" i="47"/>
  <c r="V19" i="47"/>
  <c r="V18" i="47"/>
  <c r="AA65" i="30" l="1"/>
  <c r="AI61" i="30" l="1"/>
  <c r="AI62" i="30"/>
  <c r="X62" i="30"/>
  <c r="X61" i="30"/>
  <c r="X60" i="30"/>
  <c r="AI65" i="30"/>
  <c r="AI63" i="30"/>
  <c r="AI64" i="30"/>
  <c r="AN20" i="47"/>
  <c r="AN19" i="47"/>
  <c r="AN18" i="47"/>
  <c r="AX17" i="47"/>
  <c r="AY17" i="47" s="1"/>
  <c r="AN17" i="47"/>
  <c r="BA17" i="47" l="1"/>
  <c r="BB17" i="47" s="1"/>
  <c r="AQ17" i="47"/>
  <c r="AR17" i="47" s="1"/>
  <c r="AA58" i="30"/>
  <c r="AA57" i="30"/>
  <c r="AA56" i="30"/>
  <c r="AI56" i="30" s="1"/>
  <c r="AI53" i="30"/>
  <c r="AI54" i="30"/>
  <c r="AI55" i="30"/>
  <c r="AI57" i="30"/>
  <c r="AI58" i="30"/>
  <c r="AA52" i="30" l="1"/>
  <c r="AA50" i="30"/>
  <c r="AA51" i="30"/>
  <c r="AA49" i="30"/>
  <c r="AI51" i="30"/>
  <c r="AI52" i="30"/>
  <c r="AI50" i="30"/>
  <c r="AI49" i="30" l="1"/>
  <c r="A61" i="46" l="1"/>
  <c r="B61" i="46"/>
  <c r="F61" i="46"/>
  <c r="A3" i="46"/>
  <c r="A3" i="14"/>
  <c r="D1" i="46"/>
  <c r="G1" i="46"/>
  <c r="A1" i="46"/>
  <c r="E100" i="47"/>
  <c r="E99" i="47"/>
  <c r="F41" i="46"/>
  <c r="G39" i="46"/>
  <c r="G38" i="46"/>
  <c r="G37" i="46"/>
  <c r="F36" i="46"/>
  <c r="F35" i="46"/>
  <c r="G35" i="46" s="1"/>
  <c r="G30" i="46"/>
  <c r="G29" i="46"/>
  <c r="G28" i="46"/>
  <c r="G27" i="46"/>
  <c r="H20" i="46"/>
  <c r="G19" i="46"/>
  <c r="G18" i="46"/>
  <c r="G17" i="46"/>
  <c r="F16" i="46"/>
  <c r="G14" i="46"/>
  <c r="G13" i="46"/>
  <c r="G12" i="46"/>
  <c r="F12" i="46"/>
  <c r="F11" i="46"/>
  <c r="S82" i="14"/>
  <c r="S77" i="14"/>
  <c r="AA7" i="18"/>
  <c r="AA8" i="18" s="1"/>
  <c r="AA9" i="18" s="1"/>
  <c r="W74" i="14"/>
  <c r="W71" i="14"/>
  <c r="W72" i="14" s="1"/>
  <c r="U3" i="18" s="1"/>
  <c r="S74" i="14"/>
  <c r="S71" i="14"/>
  <c r="S72" i="14" s="1"/>
  <c r="T3" i="18" s="1"/>
  <c r="K74" i="14"/>
  <c r="K71" i="14"/>
  <c r="K73" i="14" s="1"/>
  <c r="G71" i="14"/>
  <c r="C74" i="14"/>
  <c r="C71" i="14"/>
  <c r="C73" i="14" s="1"/>
  <c r="S67" i="14"/>
  <c r="S62" i="14"/>
  <c r="S63" i="14" s="1"/>
  <c r="N3" i="18" s="1"/>
  <c r="Q7" i="18"/>
  <c r="Q8" i="18" s="1"/>
  <c r="Q9" i="18" s="1"/>
  <c r="R7" i="18"/>
  <c r="R8" i="18" s="1"/>
  <c r="R9" i="18" s="1"/>
  <c r="S7" i="18"/>
  <c r="S8" i="18" s="1"/>
  <c r="S9" i="18" s="1"/>
  <c r="T7" i="18"/>
  <c r="T8" i="18" s="1"/>
  <c r="T9" i="18" s="1"/>
  <c r="U7" i="18"/>
  <c r="U8" i="18" s="1"/>
  <c r="U9" i="18" s="1"/>
  <c r="V7" i="18"/>
  <c r="V8" i="18" s="1"/>
  <c r="V9" i="18" s="1"/>
  <c r="W7" i="18"/>
  <c r="W8" i="18" s="1"/>
  <c r="W9" i="18" s="1"/>
  <c r="X7" i="18"/>
  <c r="X8" i="18" s="1"/>
  <c r="X9" i="18" s="1"/>
  <c r="Y7" i="18"/>
  <c r="Y8" i="18" s="1"/>
  <c r="Y9" i="18" s="1"/>
  <c r="Z7" i="18"/>
  <c r="Z8" i="18" s="1"/>
  <c r="Z9" i="18" s="1"/>
  <c r="K67" i="14"/>
  <c r="K62" i="14"/>
  <c r="K63" i="14" s="1"/>
  <c r="L3" i="18" s="1"/>
  <c r="E40" i="37"/>
  <c r="E39" i="37"/>
  <c r="E33" i="37"/>
  <c r="F33" i="37"/>
  <c r="F25" i="37"/>
  <c r="G25" i="37"/>
  <c r="A16" i="37"/>
  <c r="E10" i="37"/>
  <c r="A7" i="37"/>
  <c r="A6" i="37"/>
  <c r="A5" i="37"/>
  <c r="A4" i="37"/>
  <c r="G33" i="37"/>
  <c r="G32" i="37"/>
  <c r="G31" i="37"/>
  <c r="C17" i="30"/>
  <c r="F41" i="37"/>
  <c r="A3" i="35"/>
  <c r="A5" i="35"/>
  <c r="A29" i="35"/>
  <c r="H17" i="34"/>
  <c r="J17" i="34" s="1"/>
  <c r="A18" i="34" s="1"/>
  <c r="H21" i="34"/>
  <c r="J21" i="34" s="1"/>
  <c r="E18" i="34" s="1"/>
  <c r="H20" i="34"/>
  <c r="J20" i="34" s="1"/>
  <c r="D18" i="34" s="1"/>
  <c r="H19" i="34"/>
  <c r="J19" i="34" s="1"/>
  <c r="C18" i="34" s="1"/>
  <c r="H18" i="34"/>
  <c r="J18" i="34" s="1"/>
  <c r="B18" i="34" s="1"/>
  <c r="A3" i="34"/>
  <c r="A3" i="33"/>
  <c r="H23" i="33"/>
  <c r="J23" i="33" s="1"/>
  <c r="C22" i="33" s="1"/>
  <c r="H24" i="33"/>
  <c r="J24" i="33" s="1"/>
  <c r="D22" i="33" s="1"/>
  <c r="H25" i="33"/>
  <c r="J25" i="33" s="1"/>
  <c r="E22" i="33" s="1"/>
  <c r="H26" i="33"/>
  <c r="J26" i="33" s="1"/>
  <c r="B27" i="33" s="1"/>
  <c r="H27" i="33"/>
  <c r="J27" i="33" s="1"/>
  <c r="C27" i="33" s="1"/>
  <c r="H28" i="33"/>
  <c r="J28" i="33" s="1"/>
  <c r="D27" i="33" s="1"/>
  <c r="H29" i="33"/>
  <c r="J29" i="33" s="1"/>
  <c r="E27" i="33" s="1"/>
  <c r="H22" i="33"/>
  <c r="J22" i="33" s="1"/>
  <c r="B22" i="33" s="1"/>
  <c r="H16" i="33"/>
  <c r="J16" i="33" s="1"/>
  <c r="C15" i="33" s="1"/>
  <c r="H17" i="33"/>
  <c r="J17" i="33" s="1"/>
  <c r="D15" i="33" s="1"/>
  <c r="H18" i="33"/>
  <c r="J18" i="33"/>
  <c r="E15" i="33" s="1"/>
  <c r="H15" i="33"/>
  <c r="J15" i="33" s="1"/>
  <c r="B15" i="33" s="1"/>
  <c r="B73" i="31"/>
  <c r="X84" i="14"/>
  <c r="N73" i="31" s="1"/>
  <c r="Z47" i="14"/>
  <c r="Z46" i="14"/>
  <c r="Z45" i="14"/>
  <c r="Z44" i="14"/>
  <c r="Z43" i="14"/>
  <c r="Z42" i="14"/>
  <c r="Z41" i="14"/>
  <c r="Z40" i="14"/>
  <c r="Z39" i="14"/>
  <c r="Z38" i="14"/>
  <c r="Z37" i="14"/>
  <c r="Z36" i="14"/>
  <c r="Z35" i="14"/>
  <c r="Z34" i="14"/>
  <c r="Z33" i="14"/>
  <c r="Z32" i="14"/>
  <c r="Z31" i="14"/>
  <c r="Z30" i="14"/>
  <c r="Z29" i="14"/>
  <c r="Z28" i="14"/>
  <c r="Z27" i="14"/>
  <c r="Z26" i="14"/>
  <c r="W47" i="14"/>
  <c r="W46" i="14"/>
  <c r="W45" i="14"/>
  <c r="W44" i="14"/>
  <c r="W43" i="14"/>
  <c r="W42" i="14"/>
  <c r="W41" i="14"/>
  <c r="W40" i="14"/>
  <c r="W39" i="14"/>
  <c r="W38" i="14"/>
  <c r="W37" i="14"/>
  <c r="W36" i="14"/>
  <c r="W35" i="14"/>
  <c r="W34" i="14"/>
  <c r="W33" i="14"/>
  <c r="W32" i="14"/>
  <c r="W31" i="14"/>
  <c r="W30" i="14"/>
  <c r="X30" i="14" s="1"/>
  <c r="W29" i="14"/>
  <c r="W28" i="14"/>
  <c r="W27" i="14"/>
  <c r="X27" i="14" s="1"/>
  <c r="W26" i="14"/>
  <c r="T47" i="14"/>
  <c r="T46" i="14"/>
  <c r="T45" i="14"/>
  <c r="T44" i="14"/>
  <c r="T43" i="14"/>
  <c r="T42" i="14"/>
  <c r="T41" i="14"/>
  <c r="T40" i="14"/>
  <c r="T39" i="14"/>
  <c r="T38" i="14"/>
  <c r="T37" i="14"/>
  <c r="T36" i="14"/>
  <c r="T35" i="14"/>
  <c r="T34" i="14"/>
  <c r="T33" i="14"/>
  <c r="T32" i="14"/>
  <c r="T31" i="14"/>
  <c r="T30" i="14"/>
  <c r="T29" i="14"/>
  <c r="U29" i="14" s="1"/>
  <c r="T28" i="14"/>
  <c r="T27" i="14"/>
  <c r="T26" i="14"/>
  <c r="Q47" i="14"/>
  <c r="Q46" i="14"/>
  <c r="Q45" i="14"/>
  <c r="Q44" i="14"/>
  <c r="Q43" i="14"/>
  <c r="Q42" i="14"/>
  <c r="Q41" i="14"/>
  <c r="Q40" i="14"/>
  <c r="Q39" i="14"/>
  <c r="Q38" i="14"/>
  <c r="Q37" i="14"/>
  <c r="Q36" i="14"/>
  <c r="Q35" i="14"/>
  <c r="Q34" i="14"/>
  <c r="Q33" i="14"/>
  <c r="Q32" i="14"/>
  <c r="Q31" i="14"/>
  <c r="Q30" i="14"/>
  <c r="Q29" i="14"/>
  <c r="Q28" i="14"/>
  <c r="R28" i="14" s="1"/>
  <c r="Q27" i="14"/>
  <c r="R27" i="14" s="1"/>
  <c r="Q26" i="14"/>
  <c r="N47" i="14"/>
  <c r="N46" i="14"/>
  <c r="N45" i="14"/>
  <c r="N44" i="14"/>
  <c r="N43" i="14"/>
  <c r="N42" i="14"/>
  <c r="N41" i="14"/>
  <c r="N40" i="14"/>
  <c r="N39" i="14"/>
  <c r="N38" i="14"/>
  <c r="N37" i="14"/>
  <c r="N36" i="14"/>
  <c r="N35" i="14"/>
  <c r="N34" i="14"/>
  <c r="N33" i="14"/>
  <c r="N32" i="14"/>
  <c r="N31" i="14"/>
  <c r="N30" i="14"/>
  <c r="N29" i="14"/>
  <c r="N28" i="14"/>
  <c r="N27" i="14"/>
  <c r="N26" i="14"/>
  <c r="K47" i="14"/>
  <c r="K46" i="14"/>
  <c r="K45" i="14"/>
  <c r="K44" i="14"/>
  <c r="K43" i="14"/>
  <c r="K42" i="14"/>
  <c r="K41" i="14"/>
  <c r="K40" i="14"/>
  <c r="K39" i="14"/>
  <c r="K38" i="14"/>
  <c r="K37" i="14"/>
  <c r="K36" i="14"/>
  <c r="K35" i="14"/>
  <c r="K34" i="14"/>
  <c r="K33" i="14"/>
  <c r="K32" i="14"/>
  <c r="K31" i="14"/>
  <c r="K30" i="14"/>
  <c r="K29" i="14"/>
  <c r="K28" i="14"/>
  <c r="K27" i="14"/>
  <c r="L27" i="14" s="1"/>
  <c r="K26" i="14"/>
  <c r="L26" i="14" s="1"/>
  <c r="H47" i="14"/>
  <c r="H46" i="14"/>
  <c r="H45" i="14"/>
  <c r="H44" i="14"/>
  <c r="H43" i="14"/>
  <c r="H42" i="14"/>
  <c r="H41" i="14"/>
  <c r="H40" i="14"/>
  <c r="H39" i="14"/>
  <c r="H38" i="14"/>
  <c r="H37" i="14"/>
  <c r="H36" i="14"/>
  <c r="H35" i="14"/>
  <c r="H34" i="14"/>
  <c r="H33" i="14"/>
  <c r="H32" i="14"/>
  <c r="H31" i="14"/>
  <c r="H30" i="14"/>
  <c r="H29" i="14"/>
  <c r="H28" i="14"/>
  <c r="H27" i="14"/>
  <c r="H26" i="14"/>
  <c r="E27" i="14"/>
  <c r="B61" i="18" s="1"/>
  <c r="E28" i="14"/>
  <c r="B101" i="18" s="1"/>
  <c r="E29" i="14"/>
  <c r="B141" i="18" s="1"/>
  <c r="E30" i="14"/>
  <c r="F30" i="14" s="1"/>
  <c r="E31" i="14"/>
  <c r="B221" i="18" s="1"/>
  <c r="E32" i="14"/>
  <c r="B261" i="18" s="1"/>
  <c r="E33" i="14"/>
  <c r="B301" i="18" s="1"/>
  <c r="E34" i="14"/>
  <c r="B341" i="18" s="1"/>
  <c r="E35" i="14"/>
  <c r="B381" i="18" s="1"/>
  <c r="E36" i="14"/>
  <c r="B421" i="18" s="1"/>
  <c r="E37" i="14"/>
  <c r="B461" i="18" s="1"/>
  <c r="E38" i="14"/>
  <c r="B501" i="18" s="1"/>
  <c r="E39" i="14"/>
  <c r="B541" i="18" s="1"/>
  <c r="E40" i="14"/>
  <c r="B581" i="18" s="1"/>
  <c r="E41" i="14"/>
  <c r="B621" i="18" s="1"/>
  <c r="E42" i="14"/>
  <c r="B661" i="18" s="1"/>
  <c r="E43" i="14"/>
  <c r="B701" i="18" s="1"/>
  <c r="E44" i="14"/>
  <c r="B741" i="18" s="1"/>
  <c r="E45" i="14"/>
  <c r="B781" i="18" s="1"/>
  <c r="E46" i="14"/>
  <c r="E47" i="14"/>
  <c r="B861" i="18" s="1"/>
  <c r="E26" i="14"/>
  <c r="B21" i="18" s="1"/>
  <c r="AH34" i="16"/>
  <c r="AH33" i="16"/>
  <c r="AH32" i="16"/>
  <c r="AH31" i="16"/>
  <c r="AH30" i="16"/>
  <c r="AH29" i="16"/>
  <c r="AH28" i="16"/>
  <c r="AH27" i="16"/>
  <c r="S40" i="30"/>
  <c r="C7" i="14"/>
  <c r="Y57" i="14"/>
  <c r="Z56" i="14"/>
  <c r="Z57" i="14"/>
  <c r="V57" i="14"/>
  <c r="W56" i="14"/>
  <c r="W57" i="14" s="1"/>
  <c r="S57" i="14"/>
  <c r="T56" i="14"/>
  <c r="T57" i="14" s="1"/>
  <c r="P57" i="14"/>
  <c r="Q56" i="14"/>
  <c r="Q57" i="14" s="1"/>
  <c r="M57" i="14"/>
  <c r="N56" i="14"/>
  <c r="N57" i="14"/>
  <c r="J57" i="14"/>
  <c r="K56" i="14"/>
  <c r="K57" i="14"/>
  <c r="G57" i="14"/>
  <c r="H56" i="14"/>
  <c r="H57" i="14" s="1"/>
  <c r="D57" i="14"/>
  <c r="E56" i="14"/>
  <c r="E57" i="14" s="1"/>
  <c r="AH26" i="16"/>
  <c r="AH25" i="16"/>
  <c r="AH24" i="16"/>
  <c r="AH23" i="16"/>
  <c r="M6" i="14"/>
  <c r="L40" i="30"/>
  <c r="AA28" i="30"/>
  <c r="H28" i="30"/>
  <c r="S17" i="30"/>
  <c r="K17" i="30"/>
  <c r="Y48" i="14"/>
  <c r="Y52" i="14" s="1"/>
  <c r="AA47" i="14"/>
  <c r="AA46" i="14"/>
  <c r="AA45" i="14"/>
  <c r="AA44" i="14"/>
  <c r="AA43" i="14"/>
  <c r="AA42" i="14"/>
  <c r="AA41" i="14"/>
  <c r="AA40" i="14"/>
  <c r="AA39" i="14"/>
  <c r="AA38" i="14"/>
  <c r="AA37" i="14"/>
  <c r="AA36" i="14"/>
  <c r="AA35" i="14"/>
  <c r="AA34" i="14"/>
  <c r="AA33" i="14"/>
  <c r="AA32" i="14"/>
  <c r="AA31" i="14"/>
  <c r="AA30" i="14"/>
  <c r="AA29" i="14"/>
  <c r="AA28" i="14"/>
  <c r="AA27" i="14"/>
  <c r="AA26" i="14"/>
  <c r="V48" i="14"/>
  <c r="X47" i="14"/>
  <c r="X46" i="14"/>
  <c r="X45" i="14"/>
  <c r="X44" i="14"/>
  <c r="X43" i="14"/>
  <c r="X42" i="14"/>
  <c r="X41" i="14"/>
  <c r="X40" i="14"/>
  <c r="X39" i="14"/>
  <c r="X38" i="14"/>
  <c r="X37" i="14"/>
  <c r="X36" i="14"/>
  <c r="X35" i="14"/>
  <c r="X34" i="14"/>
  <c r="X33" i="14"/>
  <c r="X32" i="14"/>
  <c r="X31" i="14"/>
  <c r="X29" i="14"/>
  <c r="X28" i="14"/>
  <c r="X26" i="14"/>
  <c r="S48" i="14"/>
  <c r="S52" i="14" s="1"/>
  <c r="U47" i="14"/>
  <c r="U46" i="14"/>
  <c r="U45" i="14"/>
  <c r="U44" i="14"/>
  <c r="U43" i="14"/>
  <c r="U42" i="14"/>
  <c r="U41" i="14"/>
  <c r="U40" i="14"/>
  <c r="U39" i="14"/>
  <c r="U38" i="14"/>
  <c r="U37" i="14"/>
  <c r="U36" i="14"/>
  <c r="U35" i="14"/>
  <c r="U34" i="14"/>
  <c r="U33" i="14"/>
  <c r="U32" i="14"/>
  <c r="U31" i="14"/>
  <c r="U30" i="14"/>
  <c r="U28" i="14"/>
  <c r="U27" i="14"/>
  <c r="U26" i="14"/>
  <c r="P48" i="14"/>
  <c r="R47" i="14"/>
  <c r="R46" i="14"/>
  <c r="R45" i="14"/>
  <c r="R44" i="14"/>
  <c r="R43" i="14"/>
  <c r="R42" i="14"/>
  <c r="R41" i="14"/>
  <c r="R40" i="14"/>
  <c r="R39" i="14"/>
  <c r="R38" i="14"/>
  <c r="R37" i="14"/>
  <c r="R36" i="14"/>
  <c r="R35" i="14"/>
  <c r="R34" i="14"/>
  <c r="R33" i="14"/>
  <c r="R32" i="14"/>
  <c r="R31" i="14"/>
  <c r="R30" i="14"/>
  <c r="R29" i="14"/>
  <c r="R26" i="14"/>
  <c r="N7" i="18"/>
  <c r="N8" i="18" s="1"/>
  <c r="N9" i="18" s="1"/>
  <c r="H24" i="30"/>
  <c r="F73" i="31"/>
  <c r="U46" i="31"/>
  <c r="U41" i="31"/>
  <c r="U36" i="31"/>
  <c r="G83" i="14"/>
  <c r="E342" i="18"/>
  <c r="F342" i="18"/>
  <c r="E343" i="18"/>
  <c r="F343" i="18"/>
  <c r="E344" i="18"/>
  <c r="F344" i="18"/>
  <c r="E345" i="18"/>
  <c r="F345" i="18"/>
  <c r="E346" i="18"/>
  <c r="F346" i="18"/>
  <c r="E347" i="18"/>
  <c r="F347" i="18"/>
  <c r="E348" i="18"/>
  <c r="F348" i="18"/>
  <c r="E349" i="18"/>
  <c r="F349" i="18"/>
  <c r="E350" i="18"/>
  <c r="F350" i="18"/>
  <c r="E351" i="18"/>
  <c r="F351" i="18"/>
  <c r="E352" i="18"/>
  <c r="F352" i="18"/>
  <c r="E353" i="18"/>
  <c r="F353" i="18"/>
  <c r="E354" i="18"/>
  <c r="F354" i="18"/>
  <c r="E355" i="18"/>
  <c r="F355" i="18"/>
  <c r="E356" i="18"/>
  <c r="F356" i="18"/>
  <c r="E357" i="18"/>
  <c r="F357" i="18"/>
  <c r="E358" i="18"/>
  <c r="F358" i="18"/>
  <c r="E359" i="18"/>
  <c r="F359" i="18"/>
  <c r="E360" i="18"/>
  <c r="F360" i="18"/>
  <c r="E361" i="18"/>
  <c r="F361" i="18"/>
  <c r="E362" i="18"/>
  <c r="F362" i="18"/>
  <c r="E363" i="18"/>
  <c r="F363" i="18"/>
  <c r="E364" i="18"/>
  <c r="F364" i="18"/>
  <c r="E365" i="18"/>
  <c r="F365" i="18"/>
  <c r="E366" i="18"/>
  <c r="F366" i="18"/>
  <c r="E367" i="18"/>
  <c r="F367" i="18"/>
  <c r="E368" i="18"/>
  <c r="F368" i="18"/>
  <c r="E369" i="18"/>
  <c r="F369" i="18"/>
  <c r="E370" i="18"/>
  <c r="F370" i="18"/>
  <c r="E371" i="18"/>
  <c r="F371" i="18"/>
  <c r="E372" i="18"/>
  <c r="F372" i="18"/>
  <c r="E373" i="18"/>
  <c r="F373" i="18"/>
  <c r="E374" i="18"/>
  <c r="F374" i="18"/>
  <c r="E375" i="18"/>
  <c r="F375" i="18"/>
  <c r="E376" i="18"/>
  <c r="F376" i="18"/>
  <c r="E377" i="18"/>
  <c r="F377" i="18"/>
  <c r="E378" i="18"/>
  <c r="F378" i="18"/>
  <c r="E379" i="18"/>
  <c r="F379" i="18"/>
  <c r="E380" i="18"/>
  <c r="F380" i="18"/>
  <c r="E381" i="18"/>
  <c r="F381" i="18"/>
  <c r="E382" i="18"/>
  <c r="F382" i="18"/>
  <c r="E383" i="18"/>
  <c r="F383" i="18"/>
  <c r="E384" i="18"/>
  <c r="F384" i="18"/>
  <c r="E385" i="18"/>
  <c r="F385" i="18"/>
  <c r="E386" i="18"/>
  <c r="F386" i="18"/>
  <c r="E387" i="18"/>
  <c r="F387" i="18"/>
  <c r="E388" i="18"/>
  <c r="F388" i="18"/>
  <c r="E389" i="18"/>
  <c r="F389" i="18"/>
  <c r="E390" i="18"/>
  <c r="F390" i="18"/>
  <c r="E391" i="18"/>
  <c r="F391" i="18"/>
  <c r="E392" i="18"/>
  <c r="F392" i="18"/>
  <c r="E393" i="18"/>
  <c r="F393" i="18"/>
  <c r="E394" i="18"/>
  <c r="F394" i="18"/>
  <c r="E395" i="18"/>
  <c r="F395" i="18"/>
  <c r="E396" i="18"/>
  <c r="F396" i="18"/>
  <c r="E397" i="18"/>
  <c r="F397" i="18"/>
  <c r="E398" i="18"/>
  <c r="F398" i="18"/>
  <c r="E399" i="18"/>
  <c r="F399" i="18"/>
  <c r="E400" i="18"/>
  <c r="F400" i="18"/>
  <c r="E401" i="18"/>
  <c r="F401" i="18"/>
  <c r="E402" i="18"/>
  <c r="F402" i="18"/>
  <c r="E403" i="18"/>
  <c r="F403" i="18"/>
  <c r="E404" i="18"/>
  <c r="F404" i="18"/>
  <c r="E405" i="18"/>
  <c r="F405" i="18"/>
  <c r="E406" i="18"/>
  <c r="F406" i="18"/>
  <c r="E407" i="18"/>
  <c r="F407" i="18"/>
  <c r="E408" i="18"/>
  <c r="F408" i="18"/>
  <c r="E409" i="18"/>
  <c r="F409" i="18"/>
  <c r="E410" i="18"/>
  <c r="F410" i="18"/>
  <c r="E411" i="18"/>
  <c r="F411" i="18"/>
  <c r="E412" i="18"/>
  <c r="F412" i="18"/>
  <c r="E413" i="18"/>
  <c r="F413" i="18"/>
  <c r="E414" i="18"/>
  <c r="F414" i="18"/>
  <c r="E415" i="18"/>
  <c r="F415" i="18"/>
  <c r="E416" i="18"/>
  <c r="F416" i="18"/>
  <c r="E417" i="18"/>
  <c r="F417" i="18"/>
  <c r="E418" i="18"/>
  <c r="F418" i="18"/>
  <c r="E419" i="18"/>
  <c r="F419" i="18"/>
  <c r="E420" i="18"/>
  <c r="F420" i="18"/>
  <c r="E421" i="18"/>
  <c r="F421" i="18"/>
  <c r="E422" i="18"/>
  <c r="F422" i="18"/>
  <c r="E423" i="18"/>
  <c r="F423" i="18"/>
  <c r="E424" i="18"/>
  <c r="F424" i="18"/>
  <c r="E425" i="18"/>
  <c r="F425" i="18"/>
  <c r="E426" i="18"/>
  <c r="F426" i="18"/>
  <c r="E427" i="18"/>
  <c r="F427" i="18"/>
  <c r="E428" i="18"/>
  <c r="F428" i="18"/>
  <c r="E429" i="18"/>
  <c r="F429" i="18"/>
  <c r="E430" i="18"/>
  <c r="F430" i="18"/>
  <c r="E431" i="18"/>
  <c r="F431" i="18"/>
  <c r="E432" i="18"/>
  <c r="F432" i="18"/>
  <c r="E433" i="18"/>
  <c r="F433" i="18"/>
  <c r="E434" i="18"/>
  <c r="F434" i="18"/>
  <c r="E435" i="18"/>
  <c r="F435" i="18"/>
  <c r="E436" i="18"/>
  <c r="F436" i="18"/>
  <c r="E437" i="18"/>
  <c r="F437" i="18"/>
  <c r="E438" i="18"/>
  <c r="F438" i="18"/>
  <c r="E439" i="18"/>
  <c r="F439" i="18"/>
  <c r="E440" i="18"/>
  <c r="F440" i="18"/>
  <c r="E441" i="18"/>
  <c r="F441" i="18"/>
  <c r="E442" i="18"/>
  <c r="F442" i="18"/>
  <c r="E443" i="18"/>
  <c r="F443" i="18"/>
  <c r="E444" i="18"/>
  <c r="F444" i="18"/>
  <c r="E445" i="18"/>
  <c r="F445" i="18"/>
  <c r="E446" i="18"/>
  <c r="F446" i="18"/>
  <c r="E447" i="18"/>
  <c r="F447" i="18"/>
  <c r="E448" i="18"/>
  <c r="F448" i="18"/>
  <c r="E449" i="18"/>
  <c r="F449" i="18"/>
  <c r="E450" i="18"/>
  <c r="F450" i="18"/>
  <c r="E451" i="18"/>
  <c r="F451" i="18"/>
  <c r="E452" i="18"/>
  <c r="F452" i="18"/>
  <c r="E453" i="18"/>
  <c r="F453" i="18"/>
  <c r="E454" i="18"/>
  <c r="F454" i="18"/>
  <c r="E455" i="18"/>
  <c r="F455" i="18"/>
  <c r="E456" i="18"/>
  <c r="F456" i="18"/>
  <c r="E457" i="18"/>
  <c r="F457" i="18"/>
  <c r="E458" i="18"/>
  <c r="F458" i="18"/>
  <c r="E459" i="18"/>
  <c r="F459" i="18"/>
  <c r="E460" i="18"/>
  <c r="F460" i="18"/>
  <c r="E461" i="18"/>
  <c r="F461" i="18"/>
  <c r="E462" i="18"/>
  <c r="F462" i="18"/>
  <c r="E463" i="18"/>
  <c r="F463" i="18"/>
  <c r="E464" i="18"/>
  <c r="F464" i="18"/>
  <c r="E465" i="18"/>
  <c r="F465" i="18"/>
  <c r="E466" i="18"/>
  <c r="F466" i="18"/>
  <c r="E467" i="18"/>
  <c r="F467" i="18"/>
  <c r="E468" i="18"/>
  <c r="F468" i="18"/>
  <c r="E469" i="18"/>
  <c r="F469" i="18"/>
  <c r="E470" i="18"/>
  <c r="F470" i="18"/>
  <c r="E471" i="18"/>
  <c r="F471" i="18"/>
  <c r="E472" i="18"/>
  <c r="F472" i="18"/>
  <c r="E473" i="18"/>
  <c r="F473" i="18"/>
  <c r="E474" i="18"/>
  <c r="F474" i="18"/>
  <c r="E475" i="18"/>
  <c r="F475" i="18"/>
  <c r="E476" i="18"/>
  <c r="F476" i="18"/>
  <c r="E477" i="18"/>
  <c r="F477" i="18"/>
  <c r="E478" i="18"/>
  <c r="F478" i="18"/>
  <c r="E479" i="18"/>
  <c r="F479" i="18"/>
  <c r="E480" i="18"/>
  <c r="F480" i="18"/>
  <c r="E481" i="18"/>
  <c r="F481" i="18"/>
  <c r="E482" i="18"/>
  <c r="F482" i="18"/>
  <c r="E483" i="18"/>
  <c r="F483" i="18"/>
  <c r="E484" i="18"/>
  <c r="F484" i="18"/>
  <c r="E485" i="18"/>
  <c r="F485" i="18"/>
  <c r="E486" i="18"/>
  <c r="F486" i="18"/>
  <c r="E487" i="18"/>
  <c r="F487" i="18"/>
  <c r="E488" i="18"/>
  <c r="F488" i="18"/>
  <c r="E489" i="18"/>
  <c r="F489" i="18"/>
  <c r="E490" i="18"/>
  <c r="F490" i="18"/>
  <c r="E491" i="18"/>
  <c r="F491" i="18"/>
  <c r="E492" i="18"/>
  <c r="F492" i="18"/>
  <c r="E493" i="18"/>
  <c r="F493" i="18"/>
  <c r="E494" i="18"/>
  <c r="F494" i="18"/>
  <c r="E495" i="18"/>
  <c r="F495" i="18"/>
  <c r="E496" i="18"/>
  <c r="F496" i="18"/>
  <c r="E497" i="18"/>
  <c r="F497" i="18"/>
  <c r="E498" i="18"/>
  <c r="F498" i="18"/>
  <c r="E499" i="18"/>
  <c r="F499" i="18"/>
  <c r="E500" i="18"/>
  <c r="F500" i="18"/>
  <c r="E501" i="18"/>
  <c r="F501" i="18"/>
  <c r="E502" i="18"/>
  <c r="F502" i="18"/>
  <c r="E503" i="18"/>
  <c r="F503" i="18"/>
  <c r="E504" i="18"/>
  <c r="F504" i="18"/>
  <c r="E505" i="18"/>
  <c r="F505" i="18"/>
  <c r="E506" i="18"/>
  <c r="F506" i="18"/>
  <c r="E507" i="18"/>
  <c r="F507" i="18"/>
  <c r="E508" i="18"/>
  <c r="F508" i="18"/>
  <c r="E509" i="18"/>
  <c r="F509" i="18"/>
  <c r="E510" i="18"/>
  <c r="F510" i="18"/>
  <c r="E511" i="18"/>
  <c r="F511" i="18"/>
  <c r="E512" i="18"/>
  <c r="F512" i="18"/>
  <c r="E513" i="18"/>
  <c r="F513" i="18"/>
  <c r="E514" i="18"/>
  <c r="F514" i="18"/>
  <c r="E515" i="18"/>
  <c r="F515" i="18"/>
  <c r="E516" i="18"/>
  <c r="F516" i="18"/>
  <c r="E517" i="18"/>
  <c r="F517" i="18"/>
  <c r="E518" i="18"/>
  <c r="F518" i="18"/>
  <c r="E519" i="18"/>
  <c r="F519" i="18"/>
  <c r="E520" i="18"/>
  <c r="F520" i="18"/>
  <c r="E521" i="18"/>
  <c r="F521" i="18"/>
  <c r="E522" i="18"/>
  <c r="F522" i="18"/>
  <c r="E523" i="18"/>
  <c r="F523" i="18"/>
  <c r="E524" i="18"/>
  <c r="F524" i="18"/>
  <c r="E525" i="18"/>
  <c r="F525" i="18"/>
  <c r="E526" i="18"/>
  <c r="F526" i="18"/>
  <c r="E527" i="18"/>
  <c r="F527" i="18"/>
  <c r="E528" i="18"/>
  <c r="F528" i="18"/>
  <c r="E529" i="18"/>
  <c r="F529" i="18"/>
  <c r="E530" i="18"/>
  <c r="F530" i="18"/>
  <c r="E531" i="18"/>
  <c r="F531" i="18"/>
  <c r="E532" i="18"/>
  <c r="F532" i="18"/>
  <c r="E533" i="18"/>
  <c r="F533" i="18"/>
  <c r="E534" i="18"/>
  <c r="F534" i="18"/>
  <c r="E535" i="18"/>
  <c r="F535" i="18"/>
  <c r="E536" i="18"/>
  <c r="F536" i="18"/>
  <c r="E537" i="18"/>
  <c r="F537" i="18"/>
  <c r="E538" i="18"/>
  <c r="F538" i="18"/>
  <c r="E539" i="18"/>
  <c r="F539" i="18"/>
  <c r="E540" i="18"/>
  <c r="F540" i="18"/>
  <c r="E541" i="18"/>
  <c r="F541" i="18"/>
  <c r="E542" i="18"/>
  <c r="F542" i="18"/>
  <c r="E543" i="18"/>
  <c r="F543" i="18"/>
  <c r="E544" i="18"/>
  <c r="F544" i="18"/>
  <c r="E545" i="18"/>
  <c r="F545" i="18"/>
  <c r="E546" i="18"/>
  <c r="F546" i="18"/>
  <c r="E547" i="18"/>
  <c r="F547" i="18"/>
  <c r="E548" i="18"/>
  <c r="F548" i="18"/>
  <c r="E549" i="18"/>
  <c r="F549" i="18"/>
  <c r="E550" i="18"/>
  <c r="F550" i="18"/>
  <c r="E551" i="18"/>
  <c r="F551" i="18"/>
  <c r="E552" i="18"/>
  <c r="F552" i="18"/>
  <c r="E553" i="18"/>
  <c r="F553" i="18"/>
  <c r="E554" i="18"/>
  <c r="F554" i="18"/>
  <c r="E555" i="18"/>
  <c r="F555" i="18"/>
  <c r="E556" i="18"/>
  <c r="F556" i="18"/>
  <c r="E557" i="18"/>
  <c r="F557" i="18"/>
  <c r="E558" i="18"/>
  <c r="F558" i="18"/>
  <c r="E559" i="18"/>
  <c r="F559" i="18"/>
  <c r="E560" i="18"/>
  <c r="F560" i="18"/>
  <c r="E561" i="18"/>
  <c r="F561" i="18"/>
  <c r="E562" i="18"/>
  <c r="F562" i="18"/>
  <c r="E563" i="18"/>
  <c r="F563" i="18"/>
  <c r="E564" i="18"/>
  <c r="F564" i="18"/>
  <c r="E565" i="18"/>
  <c r="F565" i="18"/>
  <c r="E566" i="18"/>
  <c r="F566" i="18"/>
  <c r="E567" i="18"/>
  <c r="F567" i="18"/>
  <c r="E568" i="18"/>
  <c r="F568" i="18"/>
  <c r="E569" i="18"/>
  <c r="F569" i="18"/>
  <c r="E570" i="18"/>
  <c r="F570" i="18"/>
  <c r="E571" i="18"/>
  <c r="F571" i="18"/>
  <c r="E572" i="18"/>
  <c r="F572" i="18"/>
  <c r="E573" i="18"/>
  <c r="F573" i="18"/>
  <c r="E574" i="18"/>
  <c r="F574" i="18"/>
  <c r="E575" i="18"/>
  <c r="F575" i="18"/>
  <c r="E576" i="18"/>
  <c r="F576" i="18"/>
  <c r="E577" i="18"/>
  <c r="F577" i="18"/>
  <c r="E578" i="18"/>
  <c r="F578" i="18"/>
  <c r="E579" i="18"/>
  <c r="F579" i="18"/>
  <c r="E580" i="18"/>
  <c r="F580" i="18"/>
  <c r="E581" i="18"/>
  <c r="F581" i="18"/>
  <c r="E582" i="18"/>
  <c r="F582" i="18"/>
  <c r="E583" i="18"/>
  <c r="F583" i="18"/>
  <c r="E584" i="18"/>
  <c r="F584" i="18"/>
  <c r="E585" i="18"/>
  <c r="F585" i="18"/>
  <c r="E586" i="18"/>
  <c r="F586" i="18"/>
  <c r="E587" i="18"/>
  <c r="F587" i="18"/>
  <c r="E588" i="18"/>
  <c r="F588" i="18"/>
  <c r="E589" i="18"/>
  <c r="F589" i="18"/>
  <c r="E590" i="18"/>
  <c r="F590" i="18"/>
  <c r="E591" i="18"/>
  <c r="F591" i="18"/>
  <c r="E592" i="18"/>
  <c r="F592" i="18"/>
  <c r="E593" i="18"/>
  <c r="F593" i="18"/>
  <c r="E594" i="18"/>
  <c r="F594" i="18"/>
  <c r="E595" i="18"/>
  <c r="F595" i="18"/>
  <c r="E596" i="18"/>
  <c r="F596" i="18"/>
  <c r="E597" i="18"/>
  <c r="F597" i="18"/>
  <c r="E598" i="18"/>
  <c r="F598" i="18"/>
  <c r="E599" i="18"/>
  <c r="F599" i="18"/>
  <c r="E600" i="18"/>
  <c r="F600" i="18"/>
  <c r="E601" i="18"/>
  <c r="F601" i="18"/>
  <c r="E602" i="18"/>
  <c r="F602" i="18"/>
  <c r="E603" i="18"/>
  <c r="F603" i="18"/>
  <c r="E604" i="18"/>
  <c r="F604" i="18"/>
  <c r="E605" i="18"/>
  <c r="F605" i="18"/>
  <c r="E606" i="18"/>
  <c r="F606" i="18"/>
  <c r="E607" i="18"/>
  <c r="F607" i="18"/>
  <c r="E608" i="18"/>
  <c r="F608" i="18"/>
  <c r="E609" i="18"/>
  <c r="F609" i="18"/>
  <c r="E610" i="18"/>
  <c r="F610" i="18"/>
  <c r="E611" i="18"/>
  <c r="F611" i="18"/>
  <c r="E612" i="18"/>
  <c r="F612" i="18"/>
  <c r="E613" i="18"/>
  <c r="F613" i="18"/>
  <c r="E614" i="18"/>
  <c r="F614" i="18"/>
  <c r="E615" i="18"/>
  <c r="F615" i="18"/>
  <c r="E616" i="18"/>
  <c r="F616" i="18"/>
  <c r="E617" i="18"/>
  <c r="F617" i="18"/>
  <c r="E618" i="18"/>
  <c r="F618" i="18"/>
  <c r="E619" i="18"/>
  <c r="F619" i="18"/>
  <c r="E620" i="18"/>
  <c r="F620" i="18"/>
  <c r="E621" i="18"/>
  <c r="F621" i="18"/>
  <c r="E622" i="18"/>
  <c r="F622" i="18"/>
  <c r="E623" i="18"/>
  <c r="F623" i="18"/>
  <c r="E624" i="18"/>
  <c r="F624" i="18"/>
  <c r="E625" i="18"/>
  <c r="F625" i="18"/>
  <c r="E626" i="18"/>
  <c r="F626" i="18"/>
  <c r="E627" i="18"/>
  <c r="F627" i="18"/>
  <c r="E628" i="18"/>
  <c r="F628" i="18"/>
  <c r="E629" i="18"/>
  <c r="F629" i="18"/>
  <c r="E630" i="18"/>
  <c r="F630" i="18"/>
  <c r="E631" i="18"/>
  <c r="F631" i="18"/>
  <c r="E632" i="18"/>
  <c r="F632" i="18"/>
  <c r="E633" i="18"/>
  <c r="F633" i="18"/>
  <c r="E634" i="18"/>
  <c r="F634" i="18"/>
  <c r="E635" i="18"/>
  <c r="F635" i="18"/>
  <c r="E636" i="18"/>
  <c r="F636" i="18"/>
  <c r="E637" i="18"/>
  <c r="F637" i="18"/>
  <c r="E638" i="18"/>
  <c r="F638" i="18"/>
  <c r="E639" i="18"/>
  <c r="F639" i="18"/>
  <c r="E640" i="18"/>
  <c r="F640" i="18"/>
  <c r="E641" i="18"/>
  <c r="F641" i="18"/>
  <c r="E642" i="18"/>
  <c r="F642" i="18"/>
  <c r="E643" i="18"/>
  <c r="F643" i="18"/>
  <c r="E644" i="18"/>
  <c r="F644" i="18"/>
  <c r="E645" i="18"/>
  <c r="F645" i="18"/>
  <c r="E646" i="18"/>
  <c r="F646" i="18"/>
  <c r="E647" i="18"/>
  <c r="F647" i="18"/>
  <c r="E648" i="18"/>
  <c r="F648" i="18"/>
  <c r="E649" i="18"/>
  <c r="F649" i="18"/>
  <c r="E650" i="18"/>
  <c r="F650" i="18"/>
  <c r="E651" i="18"/>
  <c r="F651" i="18"/>
  <c r="E652" i="18"/>
  <c r="F652" i="18"/>
  <c r="E653" i="18"/>
  <c r="F653" i="18"/>
  <c r="E654" i="18"/>
  <c r="F654" i="18"/>
  <c r="E655" i="18"/>
  <c r="F655" i="18"/>
  <c r="E656" i="18"/>
  <c r="F656" i="18"/>
  <c r="E657" i="18"/>
  <c r="F657" i="18"/>
  <c r="E658" i="18"/>
  <c r="F658" i="18"/>
  <c r="E659" i="18"/>
  <c r="F659" i="18"/>
  <c r="E660" i="18"/>
  <c r="F660" i="18"/>
  <c r="E661" i="18"/>
  <c r="F661" i="18"/>
  <c r="E662" i="18"/>
  <c r="F662" i="18"/>
  <c r="E663" i="18"/>
  <c r="F663" i="18"/>
  <c r="E664" i="18"/>
  <c r="F664" i="18"/>
  <c r="E665" i="18"/>
  <c r="F665" i="18"/>
  <c r="E666" i="18"/>
  <c r="F666" i="18"/>
  <c r="E667" i="18"/>
  <c r="F667" i="18"/>
  <c r="E668" i="18"/>
  <c r="F668" i="18"/>
  <c r="E669" i="18"/>
  <c r="F669" i="18"/>
  <c r="E670" i="18"/>
  <c r="F670" i="18"/>
  <c r="E671" i="18"/>
  <c r="F671" i="18"/>
  <c r="E672" i="18"/>
  <c r="F672" i="18"/>
  <c r="E673" i="18"/>
  <c r="F673" i="18"/>
  <c r="E674" i="18"/>
  <c r="F674" i="18"/>
  <c r="E675" i="18"/>
  <c r="F675" i="18"/>
  <c r="E676" i="18"/>
  <c r="F676" i="18"/>
  <c r="E677" i="18"/>
  <c r="F677" i="18"/>
  <c r="E678" i="18"/>
  <c r="F678" i="18"/>
  <c r="E679" i="18"/>
  <c r="F679" i="18"/>
  <c r="E680" i="18"/>
  <c r="F680" i="18"/>
  <c r="E681" i="18"/>
  <c r="F681" i="18"/>
  <c r="E682" i="18"/>
  <c r="F682" i="18"/>
  <c r="E683" i="18"/>
  <c r="F683" i="18"/>
  <c r="E684" i="18"/>
  <c r="F684" i="18"/>
  <c r="E685" i="18"/>
  <c r="F685" i="18"/>
  <c r="E686" i="18"/>
  <c r="F686" i="18"/>
  <c r="E687" i="18"/>
  <c r="F687" i="18"/>
  <c r="E688" i="18"/>
  <c r="F688" i="18"/>
  <c r="E689" i="18"/>
  <c r="F689" i="18"/>
  <c r="E690" i="18"/>
  <c r="F690" i="18"/>
  <c r="E691" i="18"/>
  <c r="F691" i="18"/>
  <c r="E692" i="18"/>
  <c r="F692" i="18"/>
  <c r="E693" i="18"/>
  <c r="F693" i="18"/>
  <c r="E694" i="18"/>
  <c r="F694" i="18"/>
  <c r="E695" i="18"/>
  <c r="F695" i="18"/>
  <c r="E696" i="18"/>
  <c r="F696" i="18"/>
  <c r="E697" i="18"/>
  <c r="F697" i="18"/>
  <c r="E698" i="18"/>
  <c r="F698" i="18"/>
  <c r="E699" i="18"/>
  <c r="F699" i="18"/>
  <c r="E700" i="18"/>
  <c r="F700" i="18"/>
  <c r="E701" i="18"/>
  <c r="F701" i="18"/>
  <c r="E702" i="18"/>
  <c r="F702" i="18"/>
  <c r="E703" i="18"/>
  <c r="F703" i="18"/>
  <c r="E704" i="18"/>
  <c r="F704" i="18"/>
  <c r="E705" i="18"/>
  <c r="F705" i="18"/>
  <c r="E706" i="18"/>
  <c r="F706" i="18"/>
  <c r="E707" i="18"/>
  <c r="F707" i="18"/>
  <c r="E708" i="18"/>
  <c r="F708" i="18"/>
  <c r="E709" i="18"/>
  <c r="F709" i="18"/>
  <c r="E710" i="18"/>
  <c r="F710" i="18"/>
  <c r="E711" i="18"/>
  <c r="F711" i="18"/>
  <c r="E712" i="18"/>
  <c r="F712" i="18"/>
  <c r="E713" i="18"/>
  <c r="F713" i="18"/>
  <c r="E714" i="18"/>
  <c r="F714" i="18"/>
  <c r="E715" i="18"/>
  <c r="F715" i="18"/>
  <c r="E716" i="18"/>
  <c r="F716" i="18"/>
  <c r="E717" i="18"/>
  <c r="F717" i="18"/>
  <c r="E718" i="18"/>
  <c r="F718" i="18"/>
  <c r="E719" i="18"/>
  <c r="F719" i="18"/>
  <c r="E720" i="18"/>
  <c r="F720" i="18"/>
  <c r="E721" i="18"/>
  <c r="F721" i="18"/>
  <c r="E722" i="18"/>
  <c r="F722" i="18"/>
  <c r="E723" i="18"/>
  <c r="F723" i="18"/>
  <c r="E724" i="18"/>
  <c r="F724" i="18"/>
  <c r="E725" i="18"/>
  <c r="F725" i="18"/>
  <c r="E726" i="18"/>
  <c r="F726" i="18"/>
  <c r="E727" i="18"/>
  <c r="F727" i="18"/>
  <c r="E728" i="18"/>
  <c r="F728" i="18"/>
  <c r="E729" i="18"/>
  <c r="F729" i="18"/>
  <c r="E730" i="18"/>
  <c r="F730" i="18"/>
  <c r="E731" i="18"/>
  <c r="F731" i="18"/>
  <c r="E732" i="18"/>
  <c r="F732" i="18"/>
  <c r="E733" i="18"/>
  <c r="F733" i="18"/>
  <c r="E734" i="18"/>
  <c r="F734" i="18"/>
  <c r="E735" i="18"/>
  <c r="F735" i="18"/>
  <c r="E736" i="18"/>
  <c r="F736" i="18"/>
  <c r="E737" i="18"/>
  <c r="F737" i="18"/>
  <c r="E738" i="18"/>
  <c r="F738" i="18"/>
  <c r="E739" i="18"/>
  <c r="F739" i="18"/>
  <c r="E740" i="18"/>
  <c r="F740" i="18"/>
  <c r="E741" i="18"/>
  <c r="F741" i="18"/>
  <c r="E742" i="18"/>
  <c r="F742" i="18"/>
  <c r="E743" i="18"/>
  <c r="F743" i="18"/>
  <c r="E744" i="18"/>
  <c r="F744" i="18"/>
  <c r="E745" i="18"/>
  <c r="F745" i="18"/>
  <c r="E746" i="18"/>
  <c r="F746" i="18"/>
  <c r="E747" i="18"/>
  <c r="F747" i="18"/>
  <c r="E748" i="18"/>
  <c r="F748" i="18"/>
  <c r="E749" i="18"/>
  <c r="F749" i="18"/>
  <c r="E750" i="18"/>
  <c r="F750" i="18"/>
  <c r="E751" i="18"/>
  <c r="F751" i="18"/>
  <c r="E752" i="18"/>
  <c r="F752" i="18"/>
  <c r="E753" i="18"/>
  <c r="F753" i="18"/>
  <c r="E754" i="18"/>
  <c r="F754" i="18"/>
  <c r="E755" i="18"/>
  <c r="F755" i="18"/>
  <c r="E756" i="18"/>
  <c r="F756" i="18"/>
  <c r="E757" i="18"/>
  <c r="F757" i="18"/>
  <c r="E758" i="18"/>
  <c r="F758" i="18"/>
  <c r="E759" i="18"/>
  <c r="F759" i="18"/>
  <c r="E760" i="18"/>
  <c r="F760" i="18"/>
  <c r="E761" i="18"/>
  <c r="F761" i="18"/>
  <c r="E762" i="18"/>
  <c r="F762" i="18"/>
  <c r="E763" i="18"/>
  <c r="F763" i="18"/>
  <c r="E764" i="18"/>
  <c r="F764" i="18"/>
  <c r="E765" i="18"/>
  <c r="F765" i="18"/>
  <c r="E766" i="18"/>
  <c r="F766" i="18"/>
  <c r="E767" i="18"/>
  <c r="F767" i="18"/>
  <c r="E768" i="18"/>
  <c r="F768" i="18"/>
  <c r="E769" i="18"/>
  <c r="F769" i="18"/>
  <c r="E770" i="18"/>
  <c r="F770" i="18"/>
  <c r="E771" i="18"/>
  <c r="F771" i="18"/>
  <c r="E772" i="18"/>
  <c r="F772" i="18"/>
  <c r="E773" i="18"/>
  <c r="F773" i="18"/>
  <c r="E774" i="18"/>
  <c r="F774" i="18"/>
  <c r="E775" i="18"/>
  <c r="F775" i="18"/>
  <c r="E776" i="18"/>
  <c r="F776" i="18"/>
  <c r="E777" i="18"/>
  <c r="F777" i="18"/>
  <c r="E778" i="18"/>
  <c r="F778" i="18"/>
  <c r="E779" i="18"/>
  <c r="F779" i="18"/>
  <c r="E780" i="18"/>
  <c r="F780" i="18"/>
  <c r="E781" i="18"/>
  <c r="F781" i="18"/>
  <c r="E782" i="18"/>
  <c r="F782" i="18"/>
  <c r="E783" i="18"/>
  <c r="F783" i="18"/>
  <c r="E784" i="18"/>
  <c r="F784" i="18"/>
  <c r="E785" i="18"/>
  <c r="F785" i="18"/>
  <c r="E786" i="18"/>
  <c r="F786" i="18"/>
  <c r="E787" i="18"/>
  <c r="F787" i="18"/>
  <c r="E788" i="18"/>
  <c r="F788" i="18"/>
  <c r="E789" i="18"/>
  <c r="F789" i="18"/>
  <c r="E790" i="18"/>
  <c r="F790" i="18"/>
  <c r="E791" i="18"/>
  <c r="F791" i="18"/>
  <c r="E792" i="18"/>
  <c r="F792" i="18"/>
  <c r="E793" i="18"/>
  <c r="F793" i="18"/>
  <c r="E794" i="18"/>
  <c r="F794" i="18"/>
  <c r="E795" i="18"/>
  <c r="F795" i="18"/>
  <c r="E796" i="18"/>
  <c r="F796" i="18"/>
  <c r="E797" i="18"/>
  <c r="F797" i="18"/>
  <c r="E798" i="18"/>
  <c r="F798" i="18"/>
  <c r="E799" i="18"/>
  <c r="F799" i="18"/>
  <c r="E800" i="18"/>
  <c r="F800" i="18"/>
  <c r="E801" i="18"/>
  <c r="F801" i="18"/>
  <c r="E802" i="18"/>
  <c r="F802" i="18"/>
  <c r="E803" i="18"/>
  <c r="F803" i="18"/>
  <c r="E804" i="18"/>
  <c r="F804" i="18"/>
  <c r="E805" i="18"/>
  <c r="F805" i="18"/>
  <c r="E806" i="18"/>
  <c r="F806" i="18"/>
  <c r="E807" i="18"/>
  <c r="F807" i="18"/>
  <c r="E808" i="18"/>
  <c r="F808" i="18"/>
  <c r="E809" i="18"/>
  <c r="F809" i="18"/>
  <c r="E810" i="18"/>
  <c r="F810" i="18"/>
  <c r="E811" i="18"/>
  <c r="F811" i="18"/>
  <c r="E812" i="18"/>
  <c r="F812" i="18"/>
  <c r="E813" i="18"/>
  <c r="F813" i="18"/>
  <c r="E814" i="18"/>
  <c r="F814" i="18"/>
  <c r="E815" i="18"/>
  <c r="F815" i="18"/>
  <c r="E816" i="18"/>
  <c r="F816" i="18"/>
  <c r="E817" i="18"/>
  <c r="F817" i="18"/>
  <c r="E818" i="18"/>
  <c r="F818" i="18"/>
  <c r="E819" i="18"/>
  <c r="F819" i="18"/>
  <c r="F820" i="18"/>
  <c r="E820" i="18"/>
  <c r="E242" i="18"/>
  <c r="F242" i="18"/>
  <c r="E243" i="18"/>
  <c r="F243" i="18"/>
  <c r="E244" i="18"/>
  <c r="F244" i="18"/>
  <c r="E245" i="18"/>
  <c r="F245" i="18"/>
  <c r="E246" i="18"/>
  <c r="F246" i="18"/>
  <c r="E247" i="18"/>
  <c r="F247" i="18"/>
  <c r="E248" i="18"/>
  <c r="F248" i="18"/>
  <c r="E249" i="18"/>
  <c r="F249" i="18"/>
  <c r="E250" i="18"/>
  <c r="F250" i="18"/>
  <c r="E251" i="18"/>
  <c r="F251" i="18"/>
  <c r="E252" i="18"/>
  <c r="F252" i="18"/>
  <c r="E253" i="18"/>
  <c r="F253" i="18"/>
  <c r="E254" i="18"/>
  <c r="F254" i="18"/>
  <c r="E255" i="18"/>
  <c r="F255" i="18"/>
  <c r="E256" i="18"/>
  <c r="F256" i="18"/>
  <c r="E257" i="18"/>
  <c r="F257" i="18"/>
  <c r="E258" i="18"/>
  <c r="F258" i="18"/>
  <c r="E259" i="18"/>
  <c r="F259" i="18"/>
  <c r="E260" i="18"/>
  <c r="F260" i="18"/>
  <c r="E261" i="18"/>
  <c r="F261" i="18"/>
  <c r="E262" i="18"/>
  <c r="F262" i="18"/>
  <c r="E263" i="18"/>
  <c r="F263" i="18"/>
  <c r="E264" i="18"/>
  <c r="F264" i="18"/>
  <c r="E265" i="18"/>
  <c r="F265" i="18"/>
  <c r="E266" i="18"/>
  <c r="F266" i="18"/>
  <c r="E267" i="18"/>
  <c r="F267" i="18"/>
  <c r="E268" i="18"/>
  <c r="F268" i="18"/>
  <c r="E269" i="18"/>
  <c r="F269" i="18"/>
  <c r="E270" i="18"/>
  <c r="F270" i="18"/>
  <c r="E271" i="18"/>
  <c r="F271" i="18"/>
  <c r="E272" i="18"/>
  <c r="F272" i="18"/>
  <c r="E273" i="18"/>
  <c r="F273" i="18"/>
  <c r="E274" i="18"/>
  <c r="F274" i="18"/>
  <c r="E275" i="18"/>
  <c r="F275" i="18"/>
  <c r="E276" i="18"/>
  <c r="F276" i="18"/>
  <c r="E277" i="18"/>
  <c r="F277" i="18"/>
  <c r="E278" i="18"/>
  <c r="F278" i="18"/>
  <c r="E279" i="18"/>
  <c r="F279" i="18"/>
  <c r="E280" i="18"/>
  <c r="F280" i="18"/>
  <c r="E281" i="18"/>
  <c r="F281" i="18"/>
  <c r="E282" i="18"/>
  <c r="F282" i="18"/>
  <c r="E283" i="18"/>
  <c r="F283" i="18"/>
  <c r="E284" i="18"/>
  <c r="F284" i="18"/>
  <c r="E285" i="18"/>
  <c r="F285" i="18"/>
  <c r="E286" i="18"/>
  <c r="F286" i="18"/>
  <c r="E287" i="18"/>
  <c r="F287" i="18"/>
  <c r="E288" i="18"/>
  <c r="F288" i="18"/>
  <c r="E289" i="18"/>
  <c r="F289" i="18"/>
  <c r="E290" i="18"/>
  <c r="F290" i="18"/>
  <c r="E291" i="18"/>
  <c r="F291" i="18"/>
  <c r="E292" i="18"/>
  <c r="F292" i="18"/>
  <c r="E293" i="18"/>
  <c r="F293" i="18"/>
  <c r="E294" i="18"/>
  <c r="F294" i="18"/>
  <c r="E295" i="18"/>
  <c r="F295" i="18"/>
  <c r="E296" i="18"/>
  <c r="F296" i="18"/>
  <c r="E297" i="18"/>
  <c r="F297" i="18"/>
  <c r="E298" i="18"/>
  <c r="F298" i="18"/>
  <c r="E299" i="18"/>
  <c r="F299" i="18"/>
  <c r="E300" i="18"/>
  <c r="F300" i="18"/>
  <c r="E301" i="18"/>
  <c r="F301" i="18"/>
  <c r="E302" i="18"/>
  <c r="F302" i="18"/>
  <c r="E303" i="18"/>
  <c r="F303" i="18"/>
  <c r="E304" i="18"/>
  <c r="F304" i="18"/>
  <c r="E305" i="18"/>
  <c r="F305" i="18"/>
  <c r="E306" i="18"/>
  <c r="F306" i="18"/>
  <c r="E307" i="18"/>
  <c r="F307" i="18"/>
  <c r="E308" i="18"/>
  <c r="F308" i="18"/>
  <c r="E309" i="18"/>
  <c r="F309" i="18"/>
  <c r="E310" i="18"/>
  <c r="F310" i="18"/>
  <c r="E311" i="18"/>
  <c r="F311" i="18"/>
  <c r="E312" i="18"/>
  <c r="F312" i="18"/>
  <c r="E313" i="18"/>
  <c r="F313" i="18"/>
  <c r="E314" i="18"/>
  <c r="F314" i="18"/>
  <c r="E315" i="18"/>
  <c r="F315" i="18"/>
  <c r="E316" i="18"/>
  <c r="F316" i="18"/>
  <c r="E317" i="18"/>
  <c r="F317" i="18"/>
  <c r="E318" i="18"/>
  <c r="F318" i="18"/>
  <c r="E319" i="18"/>
  <c r="F319" i="18"/>
  <c r="E320" i="18"/>
  <c r="F320" i="18"/>
  <c r="E321" i="18"/>
  <c r="F321" i="18"/>
  <c r="E322" i="18"/>
  <c r="F322" i="18"/>
  <c r="E323" i="18"/>
  <c r="F323" i="18"/>
  <c r="E324" i="18"/>
  <c r="F324" i="18"/>
  <c r="E325" i="18"/>
  <c r="F325" i="18"/>
  <c r="E326" i="18"/>
  <c r="F326" i="18"/>
  <c r="E327" i="18"/>
  <c r="F327" i="18"/>
  <c r="E328" i="18"/>
  <c r="F328" i="18"/>
  <c r="E329" i="18"/>
  <c r="F329" i="18"/>
  <c r="E330" i="18"/>
  <c r="F330" i="18"/>
  <c r="E331" i="18"/>
  <c r="F331" i="18"/>
  <c r="E332" i="18"/>
  <c r="F332" i="18"/>
  <c r="E333" i="18"/>
  <c r="F333" i="18"/>
  <c r="E334" i="18"/>
  <c r="F334" i="18"/>
  <c r="E335" i="18"/>
  <c r="F335" i="18"/>
  <c r="E336" i="18"/>
  <c r="F336" i="18"/>
  <c r="E337" i="18"/>
  <c r="F337" i="18"/>
  <c r="E338" i="18"/>
  <c r="F338" i="18"/>
  <c r="E339" i="18"/>
  <c r="F339" i="18"/>
  <c r="F340" i="18"/>
  <c r="E340" i="18"/>
  <c r="E192" i="18"/>
  <c r="F192" i="18"/>
  <c r="E193" i="18"/>
  <c r="F193" i="18"/>
  <c r="E194" i="18"/>
  <c r="F194" i="18"/>
  <c r="E195" i="18"/>
  <c r="F195" i="18"/>
  <c r="E196" i="18"/>
  <c r="F196" i="18"/>
  <c r="E197" i="18"/>
  <c r="F197" i="18"/>
  <c r="E198" i="18"/>
  <c r="F198" i="18"/>
  <c r="E199" i="18"/>
  <c r="F199" i="18"/>
  <c r="E200" i="18"/>
  <c r="F200" i="18"/>
  <c r="E201" i="18"/>
  <c r="F201" i="18"/>
  <c r="E202" i="18"/>
  <c r="F202" i="18"/>
  <c r="E203" i="18"/>
  <c r="F203" i="18"/>
  <c r="E204" i="18"/>
  <c r="F204" i="18"/>
  <c r="E205" i="18"/>
  <c r="F205" i="18"/>
  <c r="E206" i="18"/>
  <c r="F206" i="18"/>
  <c r="E207" i="18"/>
  <c r="F207" i="18"/>
  <c r="E208" i="18"/>
  <c r="F208" i="18"/>
  <c r="E209" i="18"/>
  <c r="F209" i="18"/>
  <c r="E210" i="18"/>
  <c r="F210" i="18"/>
  <c r="E211" i="18"/>
  <c r="F211" i="18"/>
  <c r="E212" i="18"/>
  <c r="F212" i="18"/>
  <c r="E213" i="18"/>
  <c r="F213" i="18"/>
  <c r="E214" i="18"/>
  <c r="F214" i="18"/>
  <c r="E215" i="18"/>
  <c r="F215" i="18"/>
  <c r="E216" i="18"/>
  <c r="F216" i="18"/>
  <c r="E217" i="18"/>
  <c r="F217" i="18"/>
  <c r="E218" i="18"/>
  <c r="F218" i="18"/>
  <c r="E219" i="18"/>
  <c r="F219" i="18"/>
  <c r="E220" i="18"/>
  <c r="F220" i="18"/>
  <c r="E221" i="18"/>
  <c r="F221" i="18"/>
  <c r="E222" i="18"/>
  <c r="F222" i="18"/>
  <c r="E223" i="18"/>
  <c r="F223" i="18"/>
  <c r="E224" i="18"/>
  <c r="F224" i="18"/>
  <c r="E225" i="18"/>
  <c r="F225" i="18"/>
  <c r="E226" i="18"/>
  <c r="F226" i="18"/>
  <c r="E227" i="18"/>
  <c r="F227" i="18"/>
  <c r="E228" i="18"/>
  <c r="F228" i="18"/>
  <c r="E229" i="18"/>
  <c r="F229" i="18"/>
  <c r="E230" i="18"/>
  <c r="F230" i="18"/>
  <c r="E231" i="18"/>
  <c r="F231" i="18"/>
  <c r="E232" i="18"/>
  <c r="F232" i="18"/>
  <c r="E233" i="18"/>
  <c r="F233" i="18"/>
  <c r="E234" i="18"/>
  <c r="F234" i="18"/>
  <c r="E235" i="18"/>
  <c r="F235" i="18"/>
  <c r="E236" i="18"/>
  <c r="F236" i="18"/>
  <c r="E237" i="18"/>
  <c r="F237" i="18"/>
  <c r="E238" i="18"/>
  <c r="F238" i="18"/>
  <c r="E239" i="18"/>
  <c r="F239" i="18"/>
  <c r="F240" i="18"/>
  <c r="E240" i="18"/>
  <c r="E142" i="18"/>
  <c r="F142" i="18"/>
  <c r="E143" i="18"/>
  <c r="F143" i="18"/>
  <c r="E144" i="18"/>
  <c r="F144" i="18"/>
  <c r="E145" i="18"/>
  <c r="F145" i="18"/>
  <c r="E146" i="18"/>
  <c r="F146" i="18"/>
  <c r="E147" i="18"/>
  <c r="F147" i="18"/>
  <c r="E148" i="18"/>
  <c r="F148" i="18"/>
  <c r="E149" i="18"/>
  <c r="F149" i="18"/>
  <c r="E150" i="18"/>
  <c r="F150" i="18"/>
  <c r="E151" i="18"/>
  <c r="F151" i="18"/>
  <c r="E152" i="18"/>
  <c r="F152" i="18"/>
  <c r="E153" i="18"/>
  <c r="F153" i="18"/>
  <c r="E154" i="18"/>
  <c r="F154" i="18"/>
  <c r="E155" i="18"/>
  <c r="F155" i="18"/>
  <c r="E156" i="18"/>
  <c r="F156" i="18"/>
  <c r="E157" i="18"/>
  <c r="F157" i="18"/>
  <c r="E158" i="18"/>
  <c r="F158" i="18"/>
  <c r="E159" i="18"/>
  <c r="F159" i="18"/>
  <c r="E160" i="18"/>
  <c r="F160" i="18"/>
  <c r="E161" i="18"/>
  <c r="F161" i="18"/>
  <c r="E162" i="18"/>
  <c r="F162" i="18"/>
  <c r="E163" i="18"/>
  <c r="F163" i="18"/>
  <c r="E164" i="18"/>
  <c r="F164" i="18"/>
  <c r="E165" i="18"/>
  <c r="F165" i="18"/>
  <c r="E166" i="18"/>
  <c r="F166" i="18"/>
  <c r="E167" i="18"/>
  <c r="F167" i="18"/>
  <c r="E168" i="18"/>
  <c r="F168" i="18"/>
  <c r="E169" i="18"/>
  <c r="F169" i="18"/>
  <c r="E170" i="18"/>
  <c r="F170" i="18"/>
  <c r="E171" i="18"/>
  <c r="F171" i="18"/>
  <c r="E172" i="18"/>
  <c r="F172" i="18"/>
  <c r="E173" i="18"/>
  <c r="F173" i="18"/>
  <c r="E174" i="18"/>
  <c r="F174" i="18"/>
  <c r="E175" i="18"/>
  <c r="F175" i="18"/>
  <c r="E176" i="18"/>
  <c r="F176" i="18"/>
  <c r="E177" i="18"/>
  <c r="F177" i="18"/>
  <c r="E178" i="18"/>
  <c r="F178" i="18"/>
  <c r="E179" i="18"/>
  <c r="F179" i="18"/>
  <c r="E180" i="18"/>
  <c r="F180" i="18"/>
  <c r="E181" i="18"/>
  <c r="F181" i="18"/>
  <c r="E182" i="18"/>
  <c r="F182" i="18"/>
  <c r="E183" i="18"/>
  <c r="F183" i="18"/>
  <c r="E184" i="18"/>
  <c r="F184" i="18"/>
  <c r="E185" i="18"/>
  <c r="F185" i="18"/>
  <c r="E186" i="18"/>
  <c r="F186" i="18"/>
  <c r="E187" i="18"/>
  <c r="F187" i="18"/>
  <c r="E188" i="18"/>
  <c r="F188" i="18"/>
  <c r="E189" i="18"/>
  <c r="F189" i="18"/>
  <c r="F190" i="18"/>
  <c r="E190" i="18"/>
  <c r="F2"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E2"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M48" i="14"/>
  <c r="J48" i="14"/>
  <c r="G48" i="14"/>
  <c r="D48" i="14"/>
  <c r="O62" i="14" s="1"/>
  <c r="W77" i="14"/>
  <c r="O71" i="14"/>
  <c r="O72" i="14" s="1"/>
  <c r="S3" i="18" s="1"/>
  <c r="AH18" i="16"/>
  <c r="AH17" i="16"/>
  <c r="AH16" i="16"/>
  <c r="AH15" i="16"/>
  <c r="AH14" i="16"/>
  <c r="AH13" i="16"/>
  <c r="AH12" i="16"/>
  <c r="AH11" i="16"/>
  <c r="O47" i="14"/>
  <c r="O46" i="14"/>
  <c r="O45" i="14"/>
  <c r="O44" i="14"/>
  <c r="O43" i="14"/>
  <c r="O42" i="14"/>
  <c r="O41" i="14"/>
  <c r="O40" i="14"/>
  <c r="O39" i="14"/>
  <c r="O38" i="14"/>
  <c r="O37" i="14"/>
  <c r="O36" i="14"/>
  <c r="O34" i="14"/>
  <c r="O33" i="14"/>
  <c r="O32" i="14"/>
  <c r="O31" i="14"/>
  <c r="O30" i="14"/>
  <c r="O29" i="14"/>
  <c r="O28" i="14"/>
  <c r="L47" i="14"/>
  <c r="L46" i="14"/>
  <c r="L45" i="14"/>
  <c r="L44" i="14"/>
  <c r="L43" i="14"/>
  <c r="L42" i="14"/>
  <c r="L41" i="14"/>
  <c r="L40" i="14"/>
  <c r="L39" i="14"/>
  <c r="L38" i="14"/>
  <c r="L37" i="14"/>
  <c r="L36" i="14"/>
  <c r="L34" i="14"/>
  <c r="L31" i="14"/>
  <c r="L30" i="14"/>
  <c r="L29" i="14"/>
  <c r="L28" i="14"/>
  <c r="I47" i="14"/>
  <c r="I46" i="14"/>
  <c r="I45" i="14"/>
  <c r="I44" i="14"/>
  <c r="I43" i="14"/>
  <c r="I42" i="14"/>
  <c r="I41" i="14"/>
  <c r="I40" i="14"/>
  <c r="I39" i="14"/>
  <c r="I38" i="14"/>
  <c r="I37" i="14"/>
  <c r="I36" i="14"/>
  <c r="I34" i="14"/>
  <c r="I33" i="14"/>
  <c r="I32" i="14"/>
  <c r="I29" i="14"/>
  <c r="I27" i="14"/>
  <c r="F34" i="14"/>
  <c r="F36" i="14"/>
  <c r="F37" i="14"/>
  <c r="F38" i="14"/>
  <c r="F39" i="14"/>
  <c r="F40" i="14"/>
  <c r="F41" i="14"/>
  <c r="F42" i="14"/>
  <c r="F43" i="14"/>
  <c r="F44" i="14"/>
  <c r="F45" i="14"/>
  <c r="F47" i="14"/>
  <c r="B91" i="30"/>
  <c r="L9" i="14"/>
  <c r="O27" i="14"/>
  <c r="O35" i="14"/>
  <c r="O26" i="14"/>
  <c r="L32" i="14"/>
  <c r="L33" i="14"/>
  <c r="L35" i="14"/>
  <c r="I28" i="14"/>
  <c r="I30" i="14"/>
  <c r="I31" i="14"/>
  <c r="I35" i="14"/>
  <c r="I26" i="14"/>
  <c r="F28" i="14"/>
  <c r="F29" i="14"/>
  <c r="F31" i="14"/>
  <c r="F32" i="14"/>
  <c r="F35" i="14"/>
  <c r="AH22" i="16"/>
  <c r="AH21" i="16"/>
  <c r="AH20" i="16"/>
  <c r="AH19" i="16"/>
  <c r="AH10" i="16"/>
  <c r="AH9" i="16"/>
  <c r="AH8" i="16"/>
  <c r="AH7" i="16"/>
  <c r="AH6" i="16"/>
  <c r="AH5" i="16"/>
  <c r="AH4" i="16"/>
  <c r="F26" i="14"/>
  <c r="F27" i="14"/>
  <c r="G84" i="14"/>
  <c r="C61" i="46" s="1"/>
  <c r="O74" i="14"/>
  <c r="O7" i="18"/>
  <c r="O8" i="18" s="1"/>
  <c r="O9" i="18" s="1"/>
  <c r="M7" i="18"/>
  <c r="M8" i="18" s="1"/>
  <c r="M9" i="18" s="1"/>
  <c r="L7" i="18"/>
  <c r="L8" i="18" s="1"/>
  <c r="L9" i="18" s="1"/>
  <c r="G26" i="46"/>
  <c r="G25" i="46"/>
  <c r="G24" i="46"/>
  <c r="G34" i="37" l="1"/>
  <c r="G38" i="37" s="1"/>
  <c r="G62" i="14"/>
  <c r="K7" i="18" s="1"/>
  <c r="K8" i="18" s="1"/>
  <c r="K9" i="18" s="1"/>
  <c r="S78" i="14"/>
  <c r="Z3" i="18" s="1"/>
  <c r="F33" i="14"/>
  <c r="B513" i="18"/>
  <c r="B350" i="18"/>
  <c r="B697" i="18"/>
  <c r="B51" i="18"/>
  <c r="B181" i="18"/>
  <c r="B218" i="18" s="1"/>
  <c r="B55" i="18"/>
  <c r="B519" i="18"/>
  <c r="B533" i="18"/>
  <c r="B667" i="18"/>
  <c r="B305" i="18"/>
  <c r="B281" i="18"/>
  <c r="B681" i="18"/>
  <c r="B242" i="18"/>
  <c r="B245" i="18"/>
  <c r="B375" i="18"/>
  <c r="B57" i="18"/>
  <c r="B757" i="18"/>
  <c r="B763" i="18"/>
  <c r="B598" i="18"/>
  <c r="B629" i="18"/>
  <c r="B650" i="18"/>
  <c r="B657" i="18"/>
  <c r="B660" i="18"/>
  <c r="B654" i="18"/>
  <c r="B632" i="18"/>
  <c r="B269" i="18"/>
  <c r="B348" i="18"/>
  <c r="B684" i="18"/>
  <c r="B724" i="18"/>
  <c r="B376" i="18"/>
  <c r="B363" i="18"/>
  <c r="B696" i="18"/>
  <c r="B267" i="18"/>
  <c r="B361" i="18"/>
  <c r="B482" i="18"/>
  <c r="B682" i="18"/>
  <c r="B571" i="18"/>
  <c r="B569" i="18"/>
  <c r="B586" i="18"/>
  <c r="B588" i="18"/>
  <c r="B591" i="18"/>
  <c r="B601" i="18"/>
  <c r="B444" i="18"/>
  <c r="B417" i="18"/>
  <c r="B410" i="18"/>
  <c r="B386" i="18"/>
  <c r="B398" i="18"/>
  <c r="B393" i="18"/>
  <c r="B394" i="18"/>
  <c r="B395" i="18"/>
  <c r="B412" i="18"/>
  <c r="B399" i="18"/>
  <c r="B438" i="18"/>
  <c r="B385" i="18"/>
  <c r="B382" i="18"/>
  <c r="B390" i="18"/>
  <c r="B407" i="18"/>
  <c r="B419" i="18"/>
  <c r="B423" i="18"/>
  <c r="B411" i="18"/>
  <c r="B437" i="18"/>
  <c r="B405" i="18"/>
  <c r="B392" i="18"/>
  <c r="B69" i="18"/>
  <c r="B76" i="18"/>
  <c r="B78" i="18"/>
  <c r="B106" i="18"/>
  <c r="B138" i="18"/>
  <c r="B109" i="18"/>
  <c r="B136" i="18"/>
  <c r="B140" i="18"/>
  <c r="B102" i="18"/>
  <c r="B134" i="18"/>
  <c r="B128" i="18"/>
  <c r="B63" i="18"/>
  <c r="B80" i="18"/>
  <c r="B70" i="18"/>
  <c r="B100" i="18"/>
  <c r="B114" i="18"/>
  <c r="B115" i="18"/>
  <c r="B133" i="18"/>
  <c r="B113" i="18"/>
  <c r="B123" i="18"/>
  <c r="B108" i="18"/>
  <c r="B68" i="18"/>
  <c r="B98" i="18"/>
  <c r="B94" i="18"/>
  <c r="B131" i="18"/>
  <c r="B116" i="18"/>
  <c r="B79" i="18"/>
  <c r="B62" i="18"/>
  <c r="B84" i="18"/>
  <c r="B66" i="18"/>
  <c r="B130" i="18"/>
  <c r="B95" i="18"/>
  <c r="B262" i="18"/>
  <c r="B292" i="18"/>
  <c r="B30" i="18"/>
  <c r="B44" i="18"/>
  <c r="B39" i="18"/>
  <c r="B236" i="18"/>
  <c r="B282" i="18"/>
  <c r="B294" i="18"/>
  <c r="B295" i="18"/>
  <c r="B280" i="18"/>
  <c r="B511" i="18"/>
  <c r="B248" i="18"/>
  <c r="B200" i="18"/>
  <c r="B304" i="18"/>
  <c r="B58" i="18"/>
  <c r="B45" i="18"/>
  <c r="B53" i="18"/>
  <c r="B266" i="18"/>
  <c r="B278" i="18"/>
  <c r="B291" i="18"/>
  <c r="B274" i="18"/>
  <c r="B249" i="18"/>
  <c r="B761" i="18"/>
  <c r="B48" i="18"/>
  <c r="B24" i="18"/>
  <c r="O73" i="14"/>
  <c r="C62" i="14"/>
  <c r="G49" i="46" s="1"/>
  <c r="W73" i="14"/>
  <c r="C72" i="14"/>
  <c r="P3" i="18" s="1"/>
  <c r="K64" i="14"/>
  <c r="K72" i="14"/>
  <c r="R3" i="18" s="1"/>
  <c r="X62" i="14"/>
  <c r="P7" i="18" s="1"/>
  <c r="P8" i="18" s="1"/>
  <c r="P9" i="18" s="1"/>
  <c r="J52" i="14"/>
  <c r="B332" i="18"/>
  <c r="B318" i="18"/>
  <c r="B268" i="18"/>
  <c r="B284" i="18"/>
  <c r="B322" i="18"/>
  <c r="B264" i="18"/>
  <c r="B288" i="18"/>
  <c r="B263" i="18"/>
  <c r="B285" i="18"/>
  <c r="B265" i="18"/>
  <c r="B286" i="18"/>
  <c r="B283" i="18"/>
  <c r="B287" i="18"/>
  <c r="B289" i="18"/>
  <c r="B293" i="18"/>
  <c r="B330" i="18"/>
  <c r="B298" i="18"/>
  <c r="B226" i="18"/>
  <c r="B484" i="18"/>
  <c r="B485" i="18"/>
  <c r="B512" i="18"/>
  <c r="B504" i="18"/>
  <c r="B520" i="18"/>
  <c r="B467" i="18"/>
  <c r="B503" i="18"/>
  <c r="B476" i="18"/>
  <c r="B517" i="18"/>
  <c r="B180" i="18"/>
  <c r="B178" i="18"/>
  <c r="B196" i="18"/>
  <c r="B207" i="18"/>
  <c r="B595" i="18"/>
  <c r="B620" i="18"/>
  <c r="B593" i="18"/>
  <c r="B614" i="18"/>
  <c r="B638" i="18"/>
  <c r="B633" i="18"/>
  <c r="B627" i="18"/>
  <c r="B636" i="18"/>
  <c r="B652" i="18"/>
  <c r="B592" i="18"/>
  <c r="B585" i="18"/>
  <c r="B604" i="18"/>
  <c r="B626" i="18"/>
  <c r="B658" i="18"/>
  <c r="B635" i="18"/>
  <c r="B624" i="18"/>
  <c r="B622" i="18"/>
  <c r="B583" i="18"/>
  <c r="B608" i="18"/>
  <c r="B600" i="18"/>
  <c r="B582" i="18"/>
  <c r="B639" i="18"/>
  <c r="B637" i="18"/>
  <c r="B634" i="18"/>
  <c r="B656" i="18"/>
  <c r="H48" i="14"/>
  <c r="H49" i="14" s="1"/>
  <c r="H52" i="14" s="1"/>
  <c r="K48" i="14"/>
  <c r="K49" i="14" s="1"/>
  <c r="K52" i="14" s="1"/>
  <c r="B229" i="18"/>
  <c r="B222" i="18"/>
  <c r="B259" i="18"/>
  <c r="B250" i="18"/>
  <c r="B240" i="18"/>
  <c r="B246" i="18"/>
  <c r="B225" i="18"/>
  <c r="B227" i="18"/>
  <c r="B239" i="18"/>
  <c r="B258" i="18"/>
  <c r="B256" i="18"/>
  <c r="B241" i="18"/>
  <c r="B238" i="18"/>
  <c r="B244" i="18"/>
  <c r="B231" i="18"/>
  <c r="S73" i="14"/>
  <c r="B271" i="18"/>
  <c r="B273" i="18"/>
  <c r="B275" i="18"/>
  <c r="B290" i="18"/>
  <c r="B300" i="18"/>
  <c r="B276" i="18"/>
  <c r="B319" i="18"/>
  <c r="B515" i="18"/>
  <c r="B299" i="18"/>
  <c r="B277" i="18"/>
  <c r="B297" i="18"/>
  <c r="B270" i="18"/>
  <c r="B279" i="18"/>
  <c r="B296" i="18"/>
  <c r="B272" i="18"/>
  <c r="B235" i="18"/>
  <c r="B223" i="18"/>
  <c r="B491" i="18"/>
  <c r="B625" i="18"/>
  <c r="B649" i="18"/>
  <c r="B584" i="18"/>
  <c r="B665" i="18"/>
  <c r="B662" i="18"/>
  <c r="B663" i="18"/>
  <c r="B700" i="18"/>
  <c r="B690" i="18"/>
  <c r="B713" i="18"/>
  <c r="B664" i="18"/>
  <c r="B666" i="18"/>
  <c r="B683" i="18"/>
  <c r="B686" i="18"/>
  <c r="B672" i="18"/>
  <c r="B673" i="18"/>
  <c r="B441" i="18"/>
  <c r="B439" i="18"/>
  <c r="B389" i="18"/>
  <c r="B409" i="18"/>
  <c r="B388" i="18"/>
  <c r="B415" i="18"/>
  <c r="B400" i="18"/>
  <c r="B402" i="18"/>
  <c r="B408" i="18"/>
  <c r="B403" i="18"/>
  <c r="B122" i="18"/>
  <c r="B107" i="18"/>
  <c r="B127" i="18"/>
  <c r="B117" i="18"/>
  <c r="B120" i="18"/>
  <c r="B121" i="18"/>
  <c r="B124" i="18"/>
  <c r="B723" i="18"/>
  <c r="B75" i="18"/>
  <c r="B64" i="18"/>
  <c r="B90" i="18"/>
  <c r="B89" i="18"/>
  <c r="B92" i="18"/>
  <c r="B86" i="18"/>
  <c r="B88" i="18"/>
  <c r="D52" i="14"/>
  <c r="B387" i="18"/>
  <c r="B416" i="18"/>
  <c r="B420" i="18"/>
  <c r="B396" i="18"/>
  <c r="B401" i="18"/>
  <c r="B129" i="18"/>
  <c r="B104" i="18"/>
  <c r="B139" i="18"/>
  <c r="B111" i="18"/>
  <c r="B118" i="18"/>
  <c r="B427" i="18"/>
  <c r="B73" i="18"/>
  <c r="B72" i="18"/>
  <c r="B97" i="18"/>
  <c r="B85" i="18"/>
  <c r="B87" i="18"/>
  <c r="B529" i="18"/>
  <c r="B528" i="18"/>
  <c r="B370" i="18"/>
  <c r="B349" i="18"/>
  <c r="B46" i="18"/>
  <c r="B59" i="18"/>
  <c r="B32" i="18"/>
  <c r="B52" i="18"/>
  <c r="G41" i="37"/>
  <c r="F44" i="37" s="1"/>
  <c r="G44" i="37" s="1"/>
  <c r="T48" i="14"/>
  <c r="T49" i="14" s="1"/>
  <c r="T52" i="14" s="1"/>
  <c r="Z48" i="14"/>
  <c r="Z49" i="14" s="1"/>
  <c r="Z52" i="14" s="1"/>
  <c r="B307" i="18"/>
  <c r="B323" i="18"/>
  <c r="B339" i="18"/>
  <c r="B321" i="18"/>
  <c r="B306" i="18"/>
  <c r="B328" i="18"/>
  <c r="B320" i="18"/>
  <c r="B324" i="18"/>
  <c r="B325" i="18"/>
  <c r="B329" i="18"/>
  <c r="B358" i="18"/>
  <c r="B374" i="18"/>
  <c r="B357" i="18"/>
  <c r="B379" i="18"/>
  <c r="B359" i="18"/>
  <c r="B380" i="18"/>
  <c r="B377" i="18"/>
  <c r="B342" i="18"/>
  <c r="B344" i="18"/>
  <c r="B424" i="18"/>
  <c r="B440" i="18"/>
  <c r="B456" i="18"/>
  <c r="B425" i="18"/>
  <c r="B446" i="18"/>
  <c r="B431" i="18"/>
  <c r="B453" i="18"/>
  <c r="B443" i="18"/>
  <c r="B445" i="18"/>
  <c r="B455" i="18"/>
  <c r="B553" i="18"/>
  <c r="B577" i="18"/>
  <c r="B548" i="18"/>
  <c r="B575" i="18"/>
  <c r="B566" i="18"/>
  <c r="B556" i="18"/>
  <c r="B552" i="18"/>
  <c r="B565" i="18"/>
  <c r="B543" i="18"/>
  <c r="B544" i="18"/>
  <c r="B576" i="18"/>
  <c r="B578" i="18"/>
  <c r="B549" i="18"/>
  <c r="B547" i="18"/>
  <c r="B550" i="18"/>
  <c r="B562" i="18"/>
  <c r="B579" i="18"/>
  <c r="B516" i="18"/>
  <c r="B508" i="18"/>
  <c r="B532" i="18"/>
  <c r="B524" i="18"/>
  <c r="B506" i="18"/>
  <c r="B523" i="18"/>
  <c r="B540" i="18"/>
  <c r="B518" i="18"/>
  <c r="B539" i="18"/>
  <c r="B535" i="18"/>
  <c r="B514" i="18"/>
  <c r="B561" i="18"/>
  <c r="B554" i="18"/>
  <c r="B555" i="18"/>
  <c r="B572" i="18"/>
  <c r="B704" i="18"/>
  <c r="B720" i="18"/>
  <c r="B736" i="18"/>
  <c r="B717" i="18"/>
  <c r="B738" i="18"/>
  <c r="B721" i="18"/>
  <c r="B715" i="18"/>
  <c r="B703" i="18"/>
  <c r="B731" i="18"/>
  <c r="B726" i="18"/>
  <c r="B708" i="18"/>
  <c r="B728" i="18"/>
  <c r="B711" i="18"/>
  <c r="B719" i="18"/>
  <c r="B735" i="18"/>
  <c r="B737" i="18"/>
  <c r="B739" i="18"/>
  <c r="B702" i="18"/>
  <c r="B755" i="18"/>
  <c r="B775" i="18"/>
  <c r="B764" i="18"/>
  <c r="B750" i="18"/>
  <c r="B745" i="18"/>
  <c r="B742" i="18"/>
  <c r="B749" i="18"/>
  <c r="B712" i="18"/>
  <c r="B740" i="18"/>
  <c r="B733" i="18"/>
  <c r="B709" i="18"/>
  <c r="B718" i="18"/>
  <c r="B734" i="18"/>
  <c r="B747" i="18"/>
  <c r="B779" i="18"/>
  <c r="B780" i="18"/>
  <c r="B778" i="18"/>
  <c r="B754" i="18"/>
  <c r="B770" i="18"/>
  <c r="B706" i="18"/>
  <c r="B714" i="18"/>
  <c r="B710" i="18"/>
  <c r="B771" i="18"/>
  <c r="B756" i="18"/>
  <c r="B766" i="18"/>
  <c r="B762" i="18"/>
  <c r="B716" i="18"/>
  <c r="B722" i="18"/>
  <c r="B729" i="18"/>
  <c r="O77" i="14"/>
  <c r="M52" i="14"/>
  <c r="B351" i="18"/>
  <c r="B343" i="18"/>
  <c r="B454" i="18"/>
  <c r="B426" i="18"/>
  <c r="B436" i="18"/>
  <c r="B334" i="18"/>
  <c r="B326" i="18"/>
  <c r="B545" i="18"/>
  <c r="B367" i="18"/>
  <c r="B309" i="18"/>
  <c r="B335" i="18"/>
  <c r="B486" i="18"/>
  <c r="B472" i="18"/>
  <c r="B773" i="18"/>
  <c r="B759" i="18"/>
  <c r="B705" i="18"/>
  <c r="B568" i="18"/>
  <c r="B570" i="18"/>
  <c r="C77" i="14"/>
  <c r="G52" i="14"/>
  <c r="B530" i="18"/>
  <c r="B536" i="18"/>
  <c r="B355" i="18"/>
  <c r="B371" i="18"/>
  <c r="B356" i="18"/>
  <c r="B364" i="18"/>
  <c r="B373" i="18"/>
  <c r="B347" i="18"/>
  <c r="B362" i="18"/>
  <c r="B534" i="18"/>
  <c r="B502" i="18"/>
  <c r="B522" i="18"/>
  <c r="B525" i="18"/>
  <c r="B510" i="18"/>
  <c r="B509" i="18"/>
  <c r="B450" i="18"/>
  <c r="B449" i="18"/>
  <c r="B447" i="18"/>
  <c r="B457" i="18"/>
  <c r="B430" i="18"/>
  <c r="B452" i="18"/>
  <c r="B432" i="18"/>
  <c r="B336" i="18"/>
  <c r="B313" i="18"/>
  <c r="B338" i="18"/>
  <c r="B312" i="18"/>
  <c r="B316" i="18"/>
  <c r="B331" i="18"/>
  <c r="B311" i="18"/>
  <c r="B465" i="18"/>
  <c r="B464" i="18"/>
  <c r="B498" i="18"/>
  <c r="B462" i="18"/>
  <c r="B483" i="18"/>
  <c r="B463" i="18"/>
  <c r="B479" i="18"/>
  <c r="B495" i="18"/>
  <c r="B466" i="18"/>
  <c r="B488" i="18"/>
  <c r="B473" i="18"/>
  <c r="B494" i="18"/>
  <c r="B480" i="18"/>
  <c r="B481" i="18"/>
  <c r="B492" i="18"/>
  <c r="B475" i="18"/>
  <c r="B499" i="18"/>
  <c r="B477" i="18"/>
  <c r="B468" i="18"/>
  <c r="B500" i="18"/>
  <c r="B490" i="18"/>
  <c r="B470" i="18"/>
  <c r="B159" i="18"/>
  <c r="B170" i="18"/>
  <c r="B162" i="18"/>
  <c r="B212" i="18"/>
  <c r="B215" i="18"/>
  <c r="B237" i="18"/>
  <c r="B253" i="18"/>
  <c r="B232" i="18"/>
  <c r="B254" i="18"/>
  <c r="B234" i="18"/>
  <c r="B255" i="18"/>
  <c r="B247" i="18"/>
  <c r="B251" i="18"/>
  <c r="B224" i="18"/>
  <c r="B752" i="18"/>
  <c r="B758" i="18"/>
  <c r="B743" i="18"/>
  <c r="B725" i="18"/>
  <c r="B727" i="18"/>
  <c r="B563" i="18"/>
  <c r="B564" i="18"/>
  <c r="V52" i="14"/>
  <c r="K77" i="14"/>
  <c r="B365" i="18"/>
  <c r="B369" i="18"/>
  <c r="B352" i="18"/>
  <c r="B366" i="18"/>
  <c r="B346" i="18"/>
  <c r="B434" i="18"/>
  <c r="B458" i="18"/>
  <c r="B435" i="18"/>
  <c r="B460" i="18"/>
  <c r="B308" i="18"/>
  <c r="B317" i="18"/>
  <c r="B315" i="18"/>
  <c r="B469" i="18"/>
  <c r="B478" i="18"/>
  <c r="B487" i="18"/>
  <c r="B774" i="18"/>
  <c r="B707" i="18"/>
  <c r="B537" i="18"/>
  <c r="B521" i="18"/>
  <c r="B372" i="18"/>
  <c r="B360" i="18"/>
  <c r="B345" i="18"/>
  <c r="B353" i="18"/>
  <c r="B368" i="18"/>
  <c r="B378" i="18"/>
  <c r="B354" i="18"/>
  <c r="B507" i="18"/>
  <c r="B527" i="18"/>
  <c r="B538" i="18"/>
  <c r="B505" i="18"/>
  <c r="B175" i="18"/>
  <c r="B160" i="18"/>
  <c r="B526" i="18"/>
  <c r="B531" i="18"/>
  <c r="B422" i="18"/>
  <c r="B429" i="18"/>
  <c r="B433" i="18"/>
  <c r="B442" i="18"/>
  <c r="B451" i="18"/>
  <c r="B459" i="18"/>
  <c r="B448" i="18"/>
  <c r="B428" i="18"/>
  <c r="B252" i="18"/>
  <c r="B230" i="18"/>
  <c r="B260" i="18"/>
  <c r="B228" i="18"/>
  <c r="B243" i="18"/>
  <c r="B257" i="18"/>
  <c r="B233" i="18"/>
  <c r="B184" i="18"/>
  <c r="B208" i="18"/>
  <c r="B185" i="18"/>
  <c r="B340" i="18"/>
  <c r="B314" i="18"/>
  <c r="B302" i="18"/>
  <c r="B333" i="18"/>
  <c r="B337" i="18"/>
  <c r="B310" i="18"/>
  <c r="B327" i="18"/>
  <c r="B303" i="18"/>
  <c r="B497" i="18"/>
  <c r="B496" i="18"/>
  <c r="B489" i="18"/>
  <c r="B493" i="18"/>
  <c r="B474" i="18"/>
  <c r="B471" i="18"/>
  <c r="B397" i="18"/>
  <c r="B413" i="18"/>
  <c r="B383" i="18"/>
  <c r="B404" i="18"/>
  <c r="B384" i="18"/>
  <c r="B406" i="18"/>
  <c r="B391" i="18"/>
  <c r="B418" i="18"/>
  <c r="B414" i="18"/>
  <c r="B67" i="18"/>
  <c r="B83" i="18"/>
  <c r="B99" i="18"/>
  <c r="B71" i="18"/>
  <c r="B91" i="18"/>
  <c r="B74" i="18"/>
  <c r="B96" i="18"/>
  <c r="B82" i="18"/>
  <c r="B77" i="18"/>
  <c r="B65" i="18"/>
  <c r="B93" i="18"/>
  <c r="B81" i="18"/>
  <c r="B110" i="18"/>
  <c r="B126" i="18"/>
  <c r="B103" i="18"/>
  <c r="B119" i="18"/>
  <c r="B135" i="18"/>
  <c r="B125" i="18"/>
  <c r="B112" i="18"/>
  <c r="B105" i="18"/>
  <c r="B137" i="18"/>
  <c r="B132" i="18"/>
  <c r="B768" i="18"/>
  <c r="B765" i="18"/>
  <c r="B753" i="18"/>
  <c r="B730" i="18"/>
  <c r="B732" i="18"/>
  <c r="B551" i="18"/>
  <c r="B542" i="18"/>
  <c r="B677" i="18"/>
  <c r="B693" i="18"/>
  <c r="B670" i="18"/>
  <c r="B691" i="18"/>
  <c r="B671" i="18"/>
  <c r="B699" i="18"/>
  <c r="B687" i="18"/>
  <c r="B674" i="18"/>
  <c r="B668" i="18"/>
  <c r="B669" i="18"/>
  <c r="B689" i="18"/>
  <c r="B675" i="18"/>
  <c r="B676" i="18"/>
  <c r="B692" i="18"/>
  <c r="B694" i="18"/>
  <c r="B688" i="18"/>
  <c r="B698" i="18"/>
  <c r="B685" i="18"/>
  <c r="B680" i="18"/>
  <c r="B678" i="18"/>
  <c r="B679" i="18"/>
  <c r="B695" i="18"/>
  <c r="D53" i="14"/>
  <c r="B587" i="18"/>
  <c r="B603" i="18"/>
  <c r="B597" i="18"/>
  <c r="B616" i="18"/>
  <c r="B590" i="18"/>
  <c r="B617" i="18"/>
  <c r="B606" i="18"/>
  <c r="B594" i="18"/>
  <c r="B619" i="18"/>
  <c r="B615" i="18"/>
  <c r="B599" i="18"/>
  <c r="B602" i="18"/>
  <c r="B596" i="18"/>
  <c r="B611" i="18"/>
  <c r="B613" i="18"/>
  <c r="B609" i="18"/>
  <c r="B610" i="18"/>
  <c r="B630" i="18"/>
  <c r="B646" i="18"/>
  <c r="B623" i="18"/>
  <c r="B644" i="18"/>
  <c r="B640" i="18"/>
  <c r="B648" i="18"/>
  <c r="B643" i="18"/>
  <c r="B631" i="18"/>
  <c r="B659" i="18"/>
  <c r="B653" i="18"/>
  <c r="B607" i="18"/>
  <c r="B612" i="18"/>
  <c r="B605" i="18"/>
  <c r="B618" i="18"/>
  <c r="B589" i="18"/>
  <c r="B642" i="18"/>
  <c r="B628" i="18"/>
  <c r="B655" i="18"/>
  <c r="B641" i="18"/>
  <c r="B651" i="18"/>
  <c r="B645" i="18"/>
  <c r="B647" i="18"/>
  <c r="B23" i="18"/>
  <c r="B41" i="18"/>
  <c r="B31" i="18"/>
  <c r="B47" i="18"/>
  <c r="B40" i="18"/>
  <c r="B35" i="18"/>
  <c r="B60" i="18"/>
  <c r="B37" i="18"/>
  <c r="B49" i="18"/>
  <c r="B36" i="18"/>
  <c r="B42" i="18"/>
  <c r="B25" i="18"/>
  <c r="B34" i="18"/>
  <c r="B56" i="18"/>
  <c r="B28" i="18"/>
  <c r="B29" i="18"/>
  <c r="B50" i="18"/>
  <c r="B33" i="18"/>
  <c r="B26" i="18"/>
  <c r="B22" i="18"/>
  <c r="B38" i="18"/>
  <c r="B43" i="18"/>
  <c r="B27" i="18"/>
  <c r="B54" i="18"/>
  <c r="Q48" i="14"/>
  <c r="P52" i="14"/>
  <c r="G77" i="14"/>
  <c r="W48" i="14"/>
  <c r="F29" i="37"/>
  <c r="F30" i="37"/>
  <c r="F32" i="37"/>
  <c r="F31" i="37"/>
  <c r="B557" i="18"/>
  <c r="B573" i="18"/>
  <c r="B574" i="18"/>
  <c r="B559" i="18"/>
  <c r="B580" i="18"/>
  <c r="B560" i="18"/>
  <c r="B546" i="18"/>
  <c r="B567" i="18"/>
  <c r="B558" i="18"/>
  <c r="B751" i="18"/>
  <c r="B767" i="18"/>
  <c r="B748" i="18"/>
  <c r="B769" i="18"/>
  <c r="B744" i="18"/>
  <c r="B772" i="18"/>
  <c r="B760" i="18"/>
  <c r="B746" i="18"/>
  <c r="B776" i="18"/>
  <c r="B777" i="18"/>
  <c r="N48" i="14"/>
  <c r="F46" i="14"/>
  <c r="E48" i="14" s="1"/>
  <c r="B821" i="18"/>
  <c r="B845" i="18" s="1"/>
  <c r="E30" i="37"/>
  <c r="E32" i="37"/>
  <c r="E29" i="37"/>
  <c r="E31" i="37"/>
  <c r="G42" i="37" l="1"/>
  <c r="F43" i="37" s="1"/>
  <c r="B203" i="18"/>
  <c r="B153" i="18"/>
  <c r="B166" i="18"/>
  <c r="B220" i="18"/>
  <c r="B202" i="18"/>
  <c r="B211" i="18"/>
  <c r="B155" i="18"/>
  <c r="B172" i="18"/>
  <c r="B216" i="18"/>
  <c r="B197" i="18"/>
  <c r="B194" i="18"/>
  <c r="B164" i="18"/>
  <c r="B154" i="18"/>
  <c r="B209" i="18"/>
  <c r="B146" i="18"/>
  <c r="B189" i="18"/>
  <c r="B213" i="18"/>
  <c r="B183" i="18"/>
  <c r="B176" i="18"/>
  <c r="B148" i="18"/>
  <c r="B168" i="18"/>
  <c r="B163" i="18"/>
  <c r="B179" i="18"/>
  <c r="B174" i="18"/>
  <c r="B147" i="18"/>
  <c r="B214" i="18"/>
  <c r="B187" i="18"/>
  <c r="B217" i="18"/>
  <c r="B199" i="18"/>
  <c r="B142" i="18"/>
  <c r="B152" i="18"/>
  <c r="B182" i="18"/>
  <c r="B191" i="18"/>
  <c r="B158" i="18"/>
  <c r="B150" i="18"/>
  <c r="B143" i="18"/>
  <c r="B186" i="18"/>
  <c r="B198" i="18"/>
  <c r="B190" i="18"/>
  <c r="B201" i="18"/>
  <c r="B145" i="18"/>
  <c r="B177" i="18"/>
  <c r="B161" i="18"/>
  <c r="B219" i="18"/>
  <c r="B210" i="18"/>
  <c r="B157" i="18"/>
  <c r="B173" i="18"/>
  <c r="B192" i="18"/>
  <c r="B149" i="18"/>
  <c r="B195" i="18"/>
  <c r="B204" i="18"/>
  <c r="B205" i="18"/>
  <c r="B206" i="18"/>
  <c r="B144" i="18"/>
  <c r="B151" i="18"/>
  <c r="B169" i="18"/>
  <c r="B156" i="18"/>
  <c r="B171" i="18"/>
  <c r="B167" i="18"/>
  <c r="B165" i="18"/>
  <c r="B193" i="18"/>
  <c r="B188" i="18"/>
  <c r="Z51" i="14"/>
  <c r="K51" i="14"/>
  <c r="T51" i="14"/>
  <c r="C82" i="14"/>
  <c r="C81" i="14" s="1"/>
  <c r="G50" i="14"/>
  <c r="H51" i="14"/>
  <c r="I50" i="14"/>
  <c r="K14" i="18" s="1"/>
  <c r="K15" i="18" s="1"/>
  <c r="K16" i="18" s="1"/>
  <c r="H50" i="14" s="1"/>
  <c r="G74" i="14"/>
  <c r="G72" i="14" s="1"/>
  <c r="Q3" i="18" s="1"/>
  <c r="AA50" i="14"/>
  <c r="Q14" i="18" s="1"/>
  <c r="W82" i="14"/>
  <c r="U50" i="14"/>
  <c r="O14" i="18" s="1"/>
  <c r="O15" i="18" s="1"/>
  <c r="O16" i="18" s="1"/>
  <c r="T50" i="14" s="1"/>
  <c r="L50" i="14"/>
  <c r="L14" i="18" s="1"/>
  <c r="L15" i="18" s="1"/>
  <c r="L16" i="18" s="1"/>
  <c r="K50" i="14" s="1"/>
  <c r="B827" i="18"/>
  <c r="B826" i="18"/>
  <c r="B841" i="18"/>
  <c r="J7" i="18"/>
  <c r="J8" i="18" s="1"/>
  <c r="J9" i="18" s="1"/>
  <c r="B839" i="18"/>
  <c r="B825" i="18"/>
  <c r="B847" i="18"/>
  <c r="E49" i="14"/>
  <c r="E52" i="14" s="1"/>
  <c r="G67" i="14" s="1"/>
  <c r="E53" i="14"/>
  <c r="Q49" i="14"/>
  <c r="Q52" i="14" s="1"/>
  <c r="B856" i="18"/>
  <c r="B851" i="18"/>
  <c r="N49" i="14"/>
  <c r="N52" i="14" s="1"/>
  <c r="W49" i="14"/>
  <c r="W52" i="14" s="1"/>
  <c r="B794" i="18"/>
  <c r="B810" i="18"/>
  <c r="B789" i="18"/>
  <c r="B811" i="18"/>
  <c r="B787" i="18"/>
  <c r="B815" i="18"/>
  <c r="B809" i="18"/>
  <c r="B797" i="18"/>
  <c r="B785" i="18"/>
  <c r="B820" i="18"/>
  <c r="B798" i="18"/>
  <c r="B818" i="18"/>
  <c r="B805" i="18"/>
  <c r="B793" i="18"/>
  <c r="B796" i="18"/>
  <c r="B791" i="18"/>
  <c r="B792" i="18"/>
  <c r="B790" i="18"/>
  <c r="B784" i="18"/>
  <c r="B782" i="18"/>
  <c r="B788" i="18"/>
  <c r="B804" i="18"/>
  <c r="B813" i="18"/>
  <c r="B833" i="18"/>
  <c r="B822" i="18"/>
  <c r="B852" i="18"/>
  <c r="B838" i="18"/>
  <c r="B832" i="18"/>
  <c r="B834" i="18"/>
  <c r="B843" i="18"/>
  <c r="B802" i="18"/>
  <c r="B800" i="18"/>
  <c r="B808" i="18"/>
  <c r="B812" i="18"/>
  <c r="B829" i="18"/>
  <c r="B831" i="18"/>
  <c r="B835" i="18"/>
  <c r="B824" i="18"/>
  <c r="B840" i="18"/>
  <c r="B814" i="18"/>
  <c r="B799" i="18"/>
  <c r="B817" i="18"/>
  <c r="B806" i="18"/>
  <c r="B816" i="18"/>
  <c r="B803" i="18"/>
  <c r="B819" i="18"/>
  <c r="B837" i="18"/>
  <c r="B836" i="18"/>
  <c r="B830" i="18"/>
  <c r="B846" i="18"/>
  <c r="B848" i="18"/>
  <c r="B807" i="18"/>
  <c r="B849" i="18"/>
  <c r="B844" i="18"/>
  <c r="B842" i="18"/>
  <c r="B854" i="18"/>
  <c r="B828" i="18"/>
  <c r="B786" i="18"/>
  <c r="B795" i="18"/>
  <c r="B801" i="18"/>
  <c r="B783" i="18"/>
  <c r="B853" i="18"/>
  <c r="B858" i="18"/>
  <c r="B859" i="18"/>
  <c r="B860" i="18"/>
  <c r="B850" i="18"/>
  <c r="B855" i="18"/>
  <c r="B823" i="18"/>
  <c r="B857" i="18"/>
  <c r="E34" i="37"/>
  <c r="F34" i="37"/>
  <c r="Q15" i="18" l="1"/>
  <c r="Q16" i="18" s="1"/>
  <c r="Z50" i="14" s="1"/>
  <c r="C78" i="14"/>
  <c r="V3" i="18" s="1"/>
  <c r="V4" i="18" s="1"/>
  <c r="V5" i="18" s="1"/>
  <c r="C79" i="14" s="1"/>
  <c r="W78" i="14"/>
  <c r="AA3" i="18" s="1"/>
  <c r="AA4" i="18" s="1"/>
  <c r="AA5" i="18" s="1"/>
  <c r="W79" i="14" s="1"/>
  <c r="W81" i="14"/>
  <c r="G63" i="14"/>
  <c r="K3" i="18" s="1"/>
  <c r="K4" i="18" s="1"/>
  <c r="K5" i="18" s="1"/>
  <c r="G64" i="14" s="1"/>
  <c r="X67" i="14"/>
  <c r="X63" i="14" s="1"/>
  <c r="O3" i="18" s="1"/>
  <c r="O4" i="18" s="1"/>
  <c r="O5" i="18" s="1"/>
  <c r="X64" i="14" s="1"/>
  <c r="J50" i="14"/>
  <c r="W51" i="14"/>
  <c r="Q51" i="14"/>
  <c r="N51" i="14"/>
  <c r="S50" i="14"/>
  <c r="Y50" i="14"/>
  <c r="F50" i="14"/>
  <c r="J14" i="18" s="1"/>
  <c r="J15" i="18" s="1"/>
  <c r="J16" i="18" s="1"/>
  <c r="E50" i="14" s="1"/>
  <c r="D51" i="14" s="1"/>
  <c r="E51" i="14" s="1"/>
  <c r="S80" i="14" s="1"/>
  <c r="S81" i="14" s="1"/>
  <c r="K82" i="14"/>
  <c r="X50" i="14"/>
  <c r="P14" i="18" s="1"/>
  <c r="P15" i="18" s="1"/>
  <c r="P16" i="18" s="1"/>
  <c r="W50" i="14" s="1"/>
  <c r="G82" i="14"/>
  <c r="R50" i="14"/>
  <c r="N14" i="18" s="1"/>
  <c r="N15" i="18" s="1"/>
  <c r="N16" i="18" s="1"/>
  <c r="Q50" i="14" s="1"/>
  <c r="O82" i="14"/>
  <c r="O50" i="14"/>
  <c r="M14" i="18" s="1"/>
  <c r="M15" i="18" s="1"/>
  <c r="M16" i="18" s="1"/>
  <c r="N50" i="14" s="1"/>
  <c r="T4" i="18"/>
  <c r="T5" i="18" s="1"/>
  <c r="Q4" i="18"/>
  <c r="Q5" i="18" s="1"/>
  <c r="G73" i="14" s="1"/>
  <c r="U4" i="18"/>
  <c r="U5" i="18" s="1"/>
  <c r="O67" i="14"/>
  <c r="O63" i="14" s="1"/>
  <c r="M3" i="18" s="1"/>
  <c r="M4" i="18" s="1"/>
  <c r="M5" i="18" s="1"/>
  <c r="O64" i="14" s="1"/>
  <c r="C67" i="14"/>
  <c r="L4" i="18"/>
  <c r="L5" i="18" s="1"/>
  <c r="Z4" i="18"/>
  <c r="Z5" i="18" s="1"/>
  <c r="S79" i="14" s="1"/>
  <c r="S4" i="18"/>
  <c r="S5" i="18" s="1"/>
  <c r="P4" i="18"/>
  <c r="P5" i="18" s="1"/>
  <c r="R4" i="18"/>
  <c r="R5" i="18" s="1"/>
  <c r="N4" i="18"/>
  <c r="N5" i="18" s="1"/>
  <c r="S64" i="14" s="1"/>
  <c r="G78" i="14" l="1"/>
  <c r="W3" i="18" s="1"/>
  <c r="W4" i="18" s="1"/>
  <c r="W5" i="18" s="1"/>
  <c r="G79" i="14" s="1"/>
  <c r="G81" i="14"/>
  <c r="O78" i="14"/>
  <c r="Y3" i="18" s="1"/>
  <c r="Y4" i="18" s="1"/>
  <c r="Y5" i="18" s="1"/>
  <c r="O79" i="14" s="1"/>
  <c r="O81" i="14"/>
  <c r="K78" i="14"/>
  <c r="X3" i="18" s="1"/>
  <c r="X4" i="18" s="1"/>
  <c r="X5" i="18" s="1"/>
  <c r="K79" i="14" s="1"/>
  <c r="K81" i="14"/>
  <c r="C65" i="14"/>
  <c r="C66" i="14" s="1"/>
  <c r="G47" i="46" s="1"/>
  <c r="X65" i="14"/>
  <c r="X66" i="14" s="1"/>
  <c r="G65" i="14"/>
  <c r="G66" i="14" s="1"/>
  <c r="P50" i="14"/>
  <c r="V50" i="14"/>
  <c r="M50" i="14"/>
  <c r="D50" i="14"/>
  <c r="G48" i="46"/>
  <c r="C63" i="14"/>
  <c r="J3" i="18" s="1"/>
  <c r="J4" i="18" s="1"/>
  <c r="J5" i="18" s="1"/>
  <c r="C64" i="14" s="1"/>
  <c r="F8" i="46" s="1"/>
  <c r="G7" i="46" s="1"/>
  <c r="G8" i="46" l="1"/>
  <c r="A47" i="46"/>
  <c r="G11" i="46" l="1"/>
  <c r="G34" i="46"/>
  <c r="G10" i="46"/>
  <c r="G33" i="46"/>
  <c r="G32" i="46"/>
  <c r="G31" i="46"/>
  <c r="G36" i="46"/>
  <c r="G40" i="46" l="1"/>
  <c r="G41" i="46" s="1"/>
  <c r="G42" i="46" s="1"/>
  <c r="G43" i="46" s="1"/>
  <c r="G15" i="46"/>
  <c r="G16" i="46" s="1"/>
  <c r="G20" i="46" s="1"/>
  <c r="C50" i="46" l="1"/>
  <c r="G21" i="46"/>
  <c r="G46" i="46" s="1"/>
  <c r="G50" i="46" s="1"/>
  <c r="G51" i="46" l="1"/>
  <c r="G52" i="46"/>
  <c r="B53" i="46" l="1"/>
  <c r="D52" i="46"/>
  <c r="G53" i="46"/>
  <c r="AA59" i="30" s="1"/>
  <c r="AI59" i="30" s="1"/>
  <c r="AI66" i="30" s="1"/>
</calcChain>
</file>

<file path=xl/comments1.xml><?xml version="1.0" encoding="utf-8"?>
<comments xmlns="http://schemas.openxmlformats.org/spreadsheetml/2006/main">
  <authors>
    <author>Schenk Michael, VOL-KAWA-WAV</author>
  </authors>
  <commentList>
    <comment ref="D21" authorId="0" shapeId="0">
      <text>
        <r>
          <rPr>
            <b/>
            <sz val="9"/>
            <color indexed="81"/>
            <rFont val="Segoe UI"/>
            <family val="2"/>
          </rPr>
          <t>MSc:</t>
        </r>
        <r>
          <rPr>
            <sz val="9"/>
            <color indexed="81"/>
            <rFont val="Segoe UI"/>
            <family val="2"/>
          </rPr>
          <t xml:space="preserve">
Koordinate West-Ost wird auf Gesuch übertragen (z.B. 2628.817)</t>
        </r>
      </text>
    </comment>
    <comment ref="F21" authorId="0" shapeId="0">
      <text>
        <r>
          <rPr>
            <b/>
            <sz val="9"/>
            <color indexed="81"/>
            <rFont val="Segoe UI"/>
            <family val="2"/>
          </rPr>
          <t xml:space="preserve">MSc:
</t>
        </r>
        <r>
          <rPr>
            <sz val="9"/>
            <color indexed="81"/>
            <rFont val="Segoe UI"/>
            <family val="2"/>
          </rPr>
          <t>Koordinate Nord-Süd wird auf Gesuch übertragen (z.B. 1200.654)</t>
        </r>
      </text>
    </comment>
    <comment ref="D23" authorId="0" shapeId="0">
      <text>
        <r>
          <rPr>
            <b/>
            <sz val="9"/>
            <color indexed="81"/>
            <rFont val="Segoe UI"/>
            <family val="2"/>
          </rPr>
          <t>MSc:</t>
        </r>
        <r>
          <rPr>
            <sz val="9"/>
            <color indexed="81"/>
            <rFont val="Segoe UI"/>
            <family val="2"/>
          </rPr>
          <t xml:space="preserve">
Lokalname wird auf Gesuch übertragen</t>
        </r>
      </text>
    </comment>
  </commentList>
</comments>
</file>

<file path=xl/comments2.xml><?xml version="1.0" encoding="utf-8"?>
<comments xmlns="http://schemas.openxmlformats.org/spreadsheetml/2006/main">
  <authors>
    <author>Schenk Michael, VOL-KAWA-WAV</author>
  </authors>
  <commentList>
    <comment ref="A32" authorId="0" shapeId="0">
      <text>
        <r>
          <rPr>
            <b/>
            <sz val="9"/>
            <color indexed="81"/>
            <rFont val="Segoe UI"/>
            <family val="2"/>
          </rPr>
          <t xml:space="preserve">MSc: </t>
        </r>
        <r>
          <rPr>
            <sz val="9"/>
            <color indexed="81"/>
            <rFont val="Segoe UI"/>
            <family val="2"/>
          </rPr>
          <t xml:space="preserve">Als Holzmenge gilt die gesamte Holzmenge, welche mit der Seilbahn transportiert wird.
</t>
        </r>
      </text>
    </comment>
    <comment ref="D47" authorId="0" shapeId="0">
      <text>
        <r>
          <rPr>
            <sz val="9"/>
            <color indexed="81"/>
            <rFont val="Segoe UI"/>
            <family val="2"/>
          </rPr>
          <t>Feld für manuell berechneten Holzerlös</t>
        </r>
      </text>
    </comment>
  </commentList>
</comments>
</file>

<file path=xl/comments3.xml><?xml version="1.0" encoding="utf-8"?>
<comments xmlns="http://schemas.openxmlformats.org/spreadsheetml/2006/main">
  <authors>
    <author>Schenk Michael, VOL-KAWA-WAV</author>
  </authors>
  <commentList>
    <comment ref="AI17" authorId="0" shapeId="0">
      <text>
        <r>
          <rPr>
            <b/>
            <sz val="9"/>
            <color indexed="81"/>
            <rFont val="Segoe UI"/>
            <family val="2"/>
          </rPr>
          <t>MSc:</t>
        </r>
        <r>
          <rPr>
            <sz val="9"/>
            <color indexed="81"/>
            <rFont val="Segoe UI"/>
            <family val="2"/>
          </rPr>
          <t xml:space="preserve">
Lokalnamen wird vom Anzeichnungsprotokoll übernommen.</t>
        </r>
      </text>
    </comment>
    <comment ref="L40" authorId="0" shapeId="0">
      <text>
        <r>
          <rPr>
            <b/>
            <sz val="9"/>
            <color indexed="81"/>
            <rFont val="Segoe UI"/>
            <family val="2"/>
          </rPr>
          <t>MSc:</t>
        </r>
        <r>
          <rPr>
            <sz val="9"/>
            <color indexed="81"/>
            <rFont val="Segoe UI"/>
            <family val="2"/>
          </rPr>
          <t xml:space="preserve">
Koordinaten werden vom Anzeichnungsprotokoll übernommen.</t>
        </r>
      </text>
    </comment>
    <comment ref="S40" authorId="0" shapeId="0">
      <text>
        <r>
          <rPr>
            <b/>
            <sz val="9"/>
            <color indexed="81"/>
            <rFont val="Segoe UI"/>
            <family val="2"/>
          </rPr>
          <t xml:space="preserve">MSc:
</t>
        </r>
        <r>
          <rPr>
            <sz val="9"/>
            <color indexed="81"/>
            <rFont val="Segoe UI"/>
            <family val="2"/>
          </rPr>
          <t>Koordinaten werden vom Anzeichnungsprotokoll übernommen.</t>
        </r>
      </text>
    </comment>
    <comment ref="R45" authorId="0" shapeId="0">
      <text>
        <r>
          <rPr>
            <b/>
            <sz val="9"/>
            <color indexed="81"/>
            <rFont val="Segoe UI"/>
            <family val="2"/>
          </rPr>
          <t>Laubholzzuschlag nur bei Pauschale C + D möglich</t>
        </r>
        <r>
          <rPr>
            <sz val="9"/>
            <color indexed="81"/>
            <rFont val="Segoe UI"/>
            <family val="2"/>
          </rPr>
          <t>:
Laubholzanteil ≥ 80% = Zuschlag 20% (Bezogen auf Pauschale C0 + D0)</t>
        </r>
      </text>
    </comment>
    <comment ref="T45" authorId="0" shapeId="0">
      <text>
        <r>
          <rPr>
            <b/>
            <sz val="9"/>
            <color indexed="81"/>
            <rFont val="Segoe UI"/>
            <family val="2"/>
          </rPr>
          <t>Wegzeit</t>
        </r>
        <r>
          <rPr>
            <sz val="9"/>
            <color indexed="81"/>
            <rFont val="Segoe UI"/>
            <family val="2"/>
          </rPr>
          <t xml:space="preserve"> &gt;60 Minuten für Hin- und Rückweg (ab befahrbarer Waldstrasse/Weg) -&gt; 20% der Grundpauschalen A, B, C, D (Bezogen auf Grundpauschale A0, B0, C0, D0)</t>
        </r>
      </text>
    </comment>
    <comment ref="V45" authorId="0" shapeId="0">
      <text>
        <r>
          <rPr>
            <b/>
            <sz val="9"/>
            <color indexed="81"/>
            <rFont val="Segoe UI"/>
            <family val="2"/>
          </rPr>
          <t xml:space="preserve">Wartezeit-Zuschlag nur bei Pauschalen C + D möglich:
</t>
        </r>
        <r>
          <rPr>
            <sz val="9"/>
            <color indexed="81"/>
            <rFont val="Segoe UI"/>
            <family val="2"/>
          </rPr>
          <t>Wartezeit 10-20 Minuten = 20% Zuschlag (Bezogen auf Grundpauschale C0 + D0)
Wartezeit 20-30 Minuten = 40% Zuschlag (Bezogen auf Grundpauschale C0 + D0)
Wartezeit &gt;30 Minuten = Absprache mit dem Fachbereit Förderung</t>
        </r>
      </text>
    </comment>
    <comment ref="H60" authorId="0" shapeId="0">
      <text>
        <r>
          <rPr>
            <sz val="9"/>
            <color indexed="81"/>
            <rFont val="Segoe UI"/>
            <family val="2"/>
          </rPr>
          <t>Belege beilegen</t>
        </r>
      </text>
    </comment>
    <comment ref="L63" authorId="0" shapeId="0">
      <text>
        <r>
          <rPr>
            <sz val="9"/>
            <color indexed="81"/>
            <rFont val="Segoe UI"/>
            <family val="2"/>
          </rPr>
          <t>max. Fr. 10'000.-/ha</t>
        </r>
      </text>
    </comment>
    <comment ref="R63" authorId="0" shapeId="0">
      <text>
        <r>
          <rPr>
            <sz val="9"/>
            <color indexed="81"/>
            <rFont val="Segoe UI"/>
            <family val="2"/>
          </rPr>
          <t>max. Fr. 4'000.-/ha</t>
        </r>
      </text>
    </comment>
    <comment ref="B64" authorId="0" shapeId="0">
      <text>
        <r>
          <rPr>
            <sz val="9"/>
            <color indexed="81"/>
            <rFont val="Segoe UI"/>
            <family val="2"/>
          </rPr>
          <t>max. Fr. 10'000.-/ha</t>
        </r>
      </text>
    </comment>
  </commentList>
</comments>
</file>

<file path=xl/comments4.xml><?xml version="1.0" encoding="utf-8"?>
<comments xmlns="http://schemas.openxmlformats.org/spreadsheetml/2006/main">
  <authors>
    <author>Schenk Michael, VOL-KAWA-WAV</author>
  </authors>
  <commentList>
    <comment ref="A4" authorId="0" shapeId="0">
      <text>
        <r>
          <rPr>
            <b/>
            <sz val="9"/>
            <color indexed="81"/>
            <rFont val="Segoe UI"/>
            <family val="2"/>
          </rPr>
          <t xml:space="preserve">MSc: </t>
        </r>
        <r>
          <rPr>
            <sz val="9"/>
            <color indexed="81"/>
            <rFont val="Segoe UI"/>
            <family val="2"/>
          </rPr>
          <t>Trägerschaft wird vom Anzeichnungsprotokoll übernommen.</t>
        </r>
      </text>
    </comment>
    <comment ref="A5" authorId="0" shapeId="0">
      <text>
        <r>
          <rPr>
            <b/>
            <sz val="9"/>
            <color indexed="81"/>
            <rFont val="Segoe UI"/>
            <family val="2"/>
          </rPr>
          <t xml:space="preserve">MSc: </t>
        </r>
        <r>
          <rPr>
            <sz val="9"/>
            <color indexed="81"/>
            <rFont val="Segoe UI"/>
            <family val="2"/>
          </rPr>
          <t xml:space="preserve">Trägerschaft wird vom Anzeichnungsprotokoll übernommen.
</t>
        </r>
      </text>
    </comment>
    <comment ref="A6" authorId="0" shapeId="0">
      <text>
        <r>
          <rPr>
            <b/>
            <sz val="9"/>
            <color indexed="81"/>
            <rFont val="Segoe UI"/>
            <family val="2"/>
          </rPr>
          <t>MSc:</t>
        </r>
        <r>
          <rPr>
            <sz val="9"/>
            <color indexed="81"/>
            <rFont val="Segoe UI"/>
            <family val="2"/>
          </rPr>
          <t xml:space="preserve">
Trägerschaft wird vom Anzeichnungsprotokoll übernommen.</t>
        </r>
      </text>
    </comment>
    <comment ref="A7" authorId="0" shapeId="0">
      <text>
        <r>
          <rPr>
            <b/>
            <sz val="9"/>
            <color indexed="81"/>
            <rFont val="Segoe UI"/>
            <family val="2"/>
          </rPr>
          <t xml:space="preserve">MSc: </t>
        </r>
        <r>
          <rPr>
            <sz val="9"/>
            <color indexed="81"/>
            <rFont val="Segoe UI"/>
            <family val="2"/>
          </rPr>
          <t xml:space="preserve">Trägerschaft wird vom Anzeichnungsprotokoll übernommen.
</t>
        </r>
      </text>
    </comment>
    <comment ref="E10" authorId="0" shapeId="0">
      <text>
        <r>
          <rPr>
            <b/>
            <sz val="9"/>
            <color indexed="81"/>
            <rFont val="Segoe UI"/>
            <family val="2"/>
          </rPr>
          <t xml:space="preserve">MSc: </t>
        </r>
        <r>
          <rPr>
            <sz val="9"/>
            <color indexed="81"/>
            <rFont val="Segoe UI"/>
            <family val="2"/>
          </rPr>
          <t xml:space="preserve">Waldabteilung wird aus dem Anzeichnungsprotokoll übernommen.
</t>
        </r>
      </text>
    </comment>
    <comment ref="A16" authorId="0" shapeId="0">
      <text>
        <r>
          <rPr>
            <b/>
            <sz val="9"/>
            <color indexed="81"/>
            <rFont val="Segoe UI"/>
            <family val="2"/>
          </rPr>
          <t xml:space="preserve">MSc: </t>
        </r>
        <r>
          <rPr>
            <sz val="9"/>
            <color indexed="81"/>
            <rFont val="Segoe UI"/>
            <family val="2"/>
          </rPr>
          <t>Projektname wird vom Anzeichnungsprotokoll übernommen.</t>
        </r>
      </text>
    </comment>
  </commentList>
</comments>
</file>

<file path=xl/comments5.xml><?xml version="1.0" encoding="utf-8"?>
<comments xmlns="http://schemas.openxmlformats.org/spreadsheetml/2006/main">
  <authors>
    <author>Michael Schenk</author>
  </authors>
  <commentList>
    <comment ref="Q19" authorId="0" shapeId="0">
      <text>
        <r>
          <rPr>
            <b/>
            <sz val="9"/>
            <color indexed="81"/>
            <rFont val="Tahoma"/>
            <family val="2"/>
          </rPr>
          <t>Michael Schenk:</t>
        </r>
        <r>
          <rPr>
            <sz val="9"/>
            <color indexed="81"/>
            <rFont val="Tahoma"/>
            <family val="2"/>
          </rPr>
          <t xml:space="preserve">
Stufe 14 intrapoliert</t>
        </r>
      </text>
    </comment>
  </commentList>
</comments>
</file>

<file path=xl/sharedStrings.xml><?xml version="1.0" encoding="utf-8"?>
<sst xmlns="http://schemas.openxmlformats.org/spreadsheetml/2006/main" count="1443" uniqueCount="1048">
  <si>
    <t>Wegzeit</t>
  </si>
  <si>
    <t>Seilzug</t>
  </si>
  <si>
    <t>Stk</t>
  </si>
  <si>
    <t>BHD</t>
  </si>
  <si>
    <t>0 - 30% Gefälle</t>
  </si>
  <si>
    <t>30 - 50% Gefälle</t>
  </si>
  <si>
    <t>50 - 75% Gefälle</t>
  </si>
  <si>
    <t>75 - 100% Gefälle</t>
  </si>
  <si>
    <t>Ø Durchmesser</t>
  </si>
  <si>
    <t>Durchmesserkategorie = Spalte</t>
  </si>
  <si>
    <t>Gefälle = Zeile</t>
  </si>
  <si>
    <t>&lt; 25%</t>
  </si>
  <si>
    <t>25 - 50%</t>
  </si>
  <si>
    <t>51 - 75%</t>
  </si>
  <si>
    <t>&gt; 75%</t>
  </si>
  <si>
    <t>Pauschalansätze Grundmassnahmen</t>
  </si>
  <si>
    <t>&lt; 30min</t>
  </si>
  <si>
    <t>Pauschalansätze Bringung</t>
  </si>
  <si>
    <t>41 - 60m</t>
  </si>
  <si>
    <t>61 - 80m</t>
  </si>
  <si>
    <t>&gt; 80m</t>
  </si>
  <si>
    <t>Zuzugsdistanz</t>
  </si>
  <si>
    <t>Fr. / m³</t>
  </si>
  <si>
    <t>Anzahl</t>
  </si>
  <si>
    <t>ha</t>
  </si>
  <si>
    <t>31 - 60min</t>
  </si>
  <si>
    <t>61 - 90min</t>
  </si>
  <si>
    <t>91 - 120min</t>
  </si>
  <si>
    <t>Tarif</t>
  </si>
  <si>
    <t>Stufe</t>
  </si>
  <si>
    <t>Tanne</t>
  </si>
  <si>
    <t>Stückzahl</t>
  </si>
  <si>
    <t>Tarife</t>
  </si>
  <si>
    <t>&lt; 30cm</t>
  </si>
  <si>
    <t>30 - 35cm</t>
  </si>
  <si>
    <t>36 - 40cm</t>
  </si>
  <si>
    <t>&gt;51cm</t>
  </si>
  <si>
    <t>41 - 50cm</t>
  </si>
  <si>
    <r>
      <t>Fr. / m</t>
    </r>
    <r>
      <rPr>
        <b/>
        <vertAlign val="superscript"/>
        <sz val="10"/>
        <rFont val="Arial"/>
        <family val="2"/>
      </rPr>
      <t>3</t>
    </r>
  </si>
  <si>
    <t>Menge (Tfm)</t>
  </si>
  <si>
    <t>Mittelstamm (Tfm)</t>
  </si>
  <si>
    <t>BHD - Massenmittelstamm (cm)</t>
  </si>
  <si>
    <t>Unternehmer:</t>
  </si>
  <si>
    <t>Waldbesitzer:</t>
  </si>
  <si>
    <t>Telefonnr.:</t>
  </si>
  <si>
    <t>Fichte</t>
  </si>
  <si>
    <t>Menge</t>
  </si>
  <si>
    <t>Total brutto</t>
  </si>
  <si>
    <t>cm</t>
  </si>
  <si>
    <t>Tariftabelle</t>
  </si>
  <si>
    <t>Tarif 1</t>
  </si>
  <si>
    <t>Tarif 2</t>
  </si>
  <si>
    <t>Tarif 3</t>
  </si>
  <si>
    <t>Tarif 4</t>
  </si>
  <si>
    <t>Tarif 5</t>
  </si>
  <si>
    <t>Tarif 6</t>
  </si>
  <si>
    <t>Tarif 7</t>
  </si>
  <si>
    <t>Tarif 8</t>
  </si>
  <si>
    <t>Tarif 9</t>
  </si>
  <si>
    <t>Tarif 10</t>
  </si>
  <si>
    <t>Name</t>
  </si>
  <si>
    <t>Luzern 1</t>
  </si>
  <si>
    <t>Luzern 2 + 10%</t>
  </si>
  <si>
    <t>Luzern 2</t>
  </si>
  <si>
    <t>Luzern 2 - 10%</t>
  </si>
  <si>
    <t>Luzern 3</t>
  </si>
  <si>
    <t>Sigriswil</t>
  </si>
  <si>
    <t>16-20</t>
  </si>
  <si>
    <t>21-24</t>
  </si>
  <si>
    <t>25-28</t>
  </si>
  <si>
    <t>29-32</t>
  </si>
  <si>
    <t>33-36</t>
  </si>
  <si>
    <t>37-40</t>
  </si>
  <si>
    <t>41-44</t>
  </si>
  <si>
    <t>45-48</t>
  </si>
  <si>
    <t>49-52</t>
  </si>
  <si>
    <t>53-56</t>
  </si>
  <si>
    <t>57-60</t>
  </si>
  <si>
    <t>61-64</t>
  </si>
  <si>
    <t>65-68</t>
  </si>
  <si>
    <t>69-72</t>
  </si>
  <si>
    <t>73-76</t>
  </si>
  <si>
    <t>77-80</t>
  </si>
  <si>
    <t>81-84</t>
  </si>
  <si>
    <t>85-88</t>
  </si>
  <si>
    <t>89-92</t>
  </si>
  <si>
    <t>93-96</t>
  </si>
  <si>
    <t>97-100</t>
  </si>
  <si>
    <t>101-104</t>
  </si>
  <si>
    <t>Øm³ / Stück unter der Rinde</t>
  </si>
  <si>
    <t>Rüschegg</t>
  </si>
  <si>
    <t>Tarif 11</t>
  </si>
  <si>
    <t>Tarif 12</t>
  </si>
  <si>
    <t>Tarif 13</t>
  </si>
  <si>
    <t>Tarif 14</t>
  </si>
  <si>
    <t>Tarif 15</t>
  </si>
  <si>
    <t>Tarif 16</t>
  </si>
  <si>
    <t>Tarif 17</t>
  </si>
  <si>
    <t>Tarif 18</t>
  </si>
  <si>
    <t>Tarif 19</t>
  </si>
  <si>
    <t>Tarif 20</t>
  </si>
  <si>
    <t>Obergurnigel</t>
  </si>
  <si>
    <t>Röthenbach-Eriz mittel</t>
  </si>
  <si>
    <t>Röthenbach-Eriz lang</t>
  </si>
  <si>
    <t>SFB 3 roli</t>
  </si>
  <si>
    <t>SFB 3+5 untere</t>
  </si>
  <si>
    <t>SBF 3+5 obere</t>
  </si>
  <si>
    <t>LBH</t>
  </si>
  <si>
    <t>Zeile im Index</t>
  </si>
  <si>
    <t>Durchmesserberechnung</t>
  </si>
  <si>
    <t xml:space="preserve">Ort / Datum:  </t>
  </si>
  <si>
    <r>
      <t xml:space="preserve">Ø Ø BHD </t>
    </r>
    <r>
      <rPr>
        <b/>
        <sz val="10"/>
        <rFont val="Arial"/>
        <family val="2"/>
      </rPr>
      <t>über</t>
    </r>
    <r>
      <rPr>
        <sz val="10"/>
        <rFont val="Arial"/>
        <family val="2"/>
      </rPr>
      <t xml:space="preserve"> der Rinde interpoliert</t>
    </r>
  </si>
  <si>
    <t>Bemerkung:</t>
  </si>
  <si>
    <t>Markierung:</t>
  </si>
  <si>
    <r>
      <t>Name:</t>
    </r>
    <r>
      <rPr>
        <sz val="11"/>
        <color indexed="10"/>
        <rFont val="Arial"/>
        <family val="2"/>
      </rPr>
      <t>*</t>
    </r>
  </si>
  <si>
    <r>
      <t>Vorname:</t>
    </r>
    <r>
      <rPr>
        <sz val="11"/>
        <color indexed="10"/>
        <rFont val="Arial"/>
        <family val="2"/>
      </rPr>
      <t>*</t>
    </r>
  </si>
  <si>
    <r>
      <t>Adresse:</t>
    </r>
    <r>
      <rPr>
        <sz val="11"/>
        <color indexed="10"/>
        <rFont val="Arial"/>
        <family val="2"/>
      </rPr>
      <t>*</t>
    </r>
  </si>
  <si>
    <r>
      <t>PLZ / Ort:</t>
    </r>
    <r>
      <rPr>
        <sz val="11"/>
        <color indexed="10"/>
        <rFont val="Arial"/>
        <family val="2"/>
      </rPr>
      <t>*</t>
    </r>
  </si>
  <si>
    <r>
      <t>Tarif</t>
    </r>
    <r>
      <rPr>
        <b/>
        <sz val="11"/>
        <color indexed="10"/>
        <rFont val="Arial"/>
        <family val="2"/>
      </rPr>
      <t>*</t>
    </r>
  </si>
  <si>
    <r>
      <t>Parzellennr.:</t>
    </r>
    <r>
      <rPr>
        <sz val="11"/>
        <color indexed="10"/>
        <rFont val="Arial"/>
        <family val="2"/>
      </rPr>
      <t>*</t>
    </r>
  </si>
  <si>
    <r>
      <t xml:space="preserve">Ø Ø BHD </t>
    </r>
    <r>
      <rPr>
        <b/>
        <sz val="10"/>
        <rFont val="Arial"/>
        <family val="2"/>
      </rPr>
      <t>unter</t>
    </r>
    <r>
      <rPr>
        <sz val="10"/>
        <rFont val="Arial"/>
        <family val="2"/>
      </rPr>
      <t xml:space="preserve"> der Rinde interpoliert</t>
    </r>
  </si>
  <si>
    <t>BG Wahlern</t>
  </si>
  <si>
    <t>www.be.ch/wis-karten</t>
  </si>
  <si>
    <t>Röthenbach-Eriz kurz</t>
  </si>
  <si>
    <t>Thun-Sigriswil 1</t>
  </si>
  <si>
    <t>Thun-Sigriswil 2</t>
  </si>
  <si>
    <t>Thun-Sigriswil 3</t>
  </si>
  <si>
    <t>Wattenwil-Blumenstein mittel</t>
  </si>
  <si>
    <t>m'</t>
  </si>
  <si>
    <t>Total brutto ab Aufnahmegerät</t>
  </si>
  <si>
    <t>Stk.</t>
  </si>
  <si>
    <r>
      <rPr>
        <sz val="8"/>
        <color indexed="10"/>
        <rFont val="Arial"/>
        <family val="2"/>
      </rPr>
      <t>*</t>
    </r>
    <r>
      <rPr>
        <sz val="8"/>
        <rFont val="Arial"/>
        <family val="2"/>
      </rPr>
      <t xml:space="preserve"> Aufnahmeliste beilegen</t>
    </r>
  </si>
  <si>
    <t>Unterschrift</t>
  </si>
  <si>
    <t>Abrechnung</t>
  </si>
  <si>
    <t>Bemerkungen</t>
  </si>
  <si>
    <t>Der Revierförster</t>
  </si>
  <si>
    <t>Faktor 0.0 - 0.3 - siehe pro Fall</t>
  </si>
  <si>
    <t>Feldbeschriftungen</t>
  </si>
  <si>
    <t>Einheit</t>
  </si>
  <si>
    <t>Total</t>
  </si>
  <si>
    <t>Amt für Wald
und Naturgefahren</t>
  </si>
  <si>
    <t>Beilage 1a</t>
  </si>
  <si>
    <t>GIS-ID:</t>
  </si>
  <si>
    <t>Beitragsgesuch/-abrechnung</t>
  </si>
  <si>
    <t xml:space="preserve">WA </t>
  </si>
  <si>
    <t xml:space="preserve">Revier </t>
  </si>
  <si>
    <t xml:space="preserve">Gemeinde </t>
  </si>
  <si>
    <t xml:space="preserve">Lokalname </t>
  </si>
  <si>
    <t>Angaben über Trägerschaft</t>
  </si>
  <si>
    <t>Name / Vorname</t>
  </si>
  <si>
    <t>zu Handen</t>
  </si>
  <si>
    <t xml:space="preserve">  öffentlich</t>
  </si>
  <si>
    <t xml:space="preserve">  privat</t>
  </si>
  <si>
    <t>PLZ / Ort</t>
  </si>
  <si>
    <t xml:space="preserve">  SFB / TBA</t>
  </si>
  <si>
    <t xml:space="preserve">  Bund</t>
  </si>
  <si>
    <t>Postfach</t>
  </si>
  <si>
    <t>Einzahlungsschein der Trägerschaft liegt bei</t>
  </si>
  <si>
    <t>Lokalisierung der Flächen</t>
  </si>
  <si>
    <t xml:space="preserve">Mittelpunktkoordinaten </t>
  </si>
  <si>
    <t>x</t>
  </si>
  <si>
    <t>Höhe über Meer</t>
  </si>
  <si>
    <t>Pauschal-
ansatz</t>
  </si>
  <si>
    <t>Voranschlag</t>
  </si>
  <si>
    <t>Voranschlag / Abrechnung</t>
  </si>
  <si>
    <t>CHF</t>
  </si>
  <si>
    <t>Trägerschaft: Eingabe des Gesuchs und generelle Bedingungen für die Ausrichtung der Beiträge</t>
  </si>
  <si>
    <t>Die Trägerschaft beantragt die Subventionierung der projektierten Arbeiten gemäss Ziffer 3</t>
  </si>
  <si>
    <t>Ort</t>
  </si>
  <si>
    <t>Datum</t>
  </si>
  <si>
    <t>Die Trägerschaft</t>
  </si>
  <si>
    <t>Ausführung geplant bis:</t>
  </si>
  <si>
    <t>Bemerkungen siehe Beilage</t>
  </si>
  <si>
    <r>
      <t xml:space="preserve">Zustimmung des Gesuchs durch die Waldabteilung </t>
    </r>
    <r>
      <rPr>
        <sz val="10"/>
        <rFont val="Arial"/>
        <family val="2"/>
      </rPr>
      <t>(Original an Revierförster)</t>
    </r>
  </si>
  <si>
    <t>Gesuch gültig bis: (max. Ende 2024)</t>
  </si>
  <si>
    <t>Die Waldabteilung / Der Amtsvorsteher</t>
  </si>
  <si>
    <t>Fachvisum</t>
  </si>
  <si>
    <t>Ausführungsbestätigung des Revierförsters</t>
  </si>
  <si>
    <t>siehe Beilage</t>
  </si>
  <si>
    <t>Genehmigung der Abrechnung und Ausgabenbewilligung</t>
  </si>
  <si>
    <t xml:space="preserve">Kopie WA an: </t>
  </si>
  <si>
    <t>- Trägerschaft
- Revierförster</t>
  </si>
  <si>
    <t>Seite 1</t>
  </si>
  <si>
    <t xml:space="preserve">Einfaches Projekt: </t>
  </si>
  <si>
    <t>Rechtsgrundlagen</t>
  </si>
  <si>
    <t></t>
  </si>
  <si>
    <t>Kantonales Waldgesetz vom 5. Mai 1997 (KWaG), Art. 9, 12, 14, 15 und 32 ff</t>
  </si>
  <si>
    <t>Gesetz vom 26. März 2002 über die Steuerung von Finanzen und Leistungen (FLG),
Art. 46, Art. 48 Abs. 1 Bst. a, Art. 49, Art. 50, Art. 52</t>
  </si>
  <si>
    <t>Verordnung vom 3. Dezember 2003 über die Steuerung von Finanzen und Leistungen (FLV),
Art. 148 und 152</t>
  </si>
  <si>
    <t>Kredit- und Ausgabenart, rechtliche Qualifikation</t>
  </si>
  <si>
    <t>Verpflichtungskredit in Form eines Objektkredites</t>
  </si>
  <si>
    <t xml:space="preserve">Einmalige und neue Ausgabe (FLG, Art. 46 und Art. 48 Abs. 1 Bst. a) </t>
  </si>
  <si>
    <t>Rechnungsjahr und Konto</t>
  </si>
  <si>
    <t>Rechnungsjahr</t>
  </si>
  <si>
    <t>Konto</t>
  </si>
  <si>
    <t>363200/363500</t>
  </si>
  <si>
    <t>Teilprodukt</t>
  </si>
  <si>
    <t>Funktionsbereich</t>
  </si>
  <si>
    <t>20066 AFR und Waldabteilungen</t>
  </si>
  <si>
    <t>Der Betrag ist im Voranschlag eingestellt.</t>
  </si>
  <si>
    <t>Seite 2</t>
  </si>
  <si>
    <t>Beilage 1b</t>
  </si>
  <si>
    <t>Beilage zum Einfachen Projekt</t>
  </si>
  <si>
    <r>
      <t>Eingriffsfläche</t>
    </r>
    <r>
      <rPr>
        <sz val="11"/>
        <rFont val="Arial (W1)"/>
        <family val="2"/>
      </rPr>
      <t xml:space="preserve"> </t>
    </r>
    <r>
      <rPr>
        <sz val="10"/>
        <rFont val="Arial (W1)"/>
        <family val="2"/>
      </rPr>
      <t>(Name / Abteilung / Bestandes- oder Parzellen-Nr. und Lokalname)</t>
    </r>
  </si>
  <si>
    <t>Ortsbezug</t>
  </si>
  <si>
    <t>Fläche der Behandlungseinheit</t>
  </si>
  <si>
    <t xml:space="preserve"> (Beilage: Planausschnitt 1:5000)</t>
  </si>
  <si>
    <t>letzter Eingriff:</t>
  </si>
  <si>
    <t>Jahr</t>
  </si>
  <si>
    <t>Schutzwaldkategorie</t>
  </si>
  <si>
    <t xml:space="preserve"> OSW Bund</t>
  </si>
  <si>
    <t xml:space="preserve">oder </t>
  </si>
  <si>
    <r>
      <t xml:space="preserve">GSW  </t>
    </r>
    <r>
      <rPr>
        <b/>
        <sz val="11"/>
        <rFont val="Arial (W1)"/>
      </rPr>
      <t>oder</t>
    </r>
    <r>
      <rPr>
        <sz val="11"/>
        <rFont val="Arial (W1)"/>
      </rPr>
      <t xml:space="preserve"> </t>
    </r>
  </si>
  <si>
    <t>OSW Kanton</t>
  </si>
  <si>
    <t>Massgeblicher Prozess</t>
  </si>
  <si>
    <t xml:space="preserve"> Lawine</t>
  </si>
  <si>
    <t xml:space="preserve"> Steinschlag</t>
  </si>
  <si>
    <t xml:space="preserve"> Hangmure</t>
  </si>
  <si>
    <t xml:space="preserve"> Rutschung</t>
  </si>
  <si>
    <t>Gerinneschutzwald</t>
  </si>
  <si>
    <t>Schadenpotenzial</t>
  </si>
  <si>
    <t>Kategorie</t>
  </si>
  <si>
    <t>Schadenpotenzial angeben</t>
  </si>
  <si>
    <t>Dorf / grosser Dorfteil</t>
  </si>
  <si>
    <t xml:space="preserve"> sehr gross</t>
  </si>
  <si>
    <t>Weiler</t>
  </si>
  <si>
    <t xml:space="preserve"> gross</t>
  </si>
  <si>
    <r>
      <t xml:space="preserve">wichtige Verkehrswege </t>
    </r>
    <r>
      <rPr>
        <sz val="11"/>
        <rFont val="Arial (W1)"/>
      </rPr>
      <t>(Kantonstr., SBB, usw.)</t>
    </r>
  </si>
  <si>
    <r>
      <t xml:space="preserve">Einzelobjekt </t>
    </r>
    <r>
      <rPr>
        <sz val="11"/>
        <rFont val="Arial (W1)"/>
      </rPr>
      <t>(Haus usw.) und / oder Zufahrten</t>
    </r>
  </si>
  <si>
    <t xml:space="preserve"> mittel</t>
  </si>
  <si>
    <r>
      <t xml:space="preserve">Touristische Anlagen, </t>
    </r>
    <r>
      <rPr>
        <sz val="11"/>
        <rFont val="Arial Narrow"/>
        <family val="2"/>
      </rPr>
      <t>Gebäudewert &gt; 100'000 CHF</t>
    </r>
  </si>
  <si>
    <t xml:space="preserve"> OSW Kanton</t>
  </si>
  <si>
    <r>
      <t>Überbetriebliche Zielsetzung</t>
    </r>
    <r>
      <rPr>
        <sz val="11"/>
        <rFont val="Arial (W1)"/>
        <family val="2"/>
      </rPr>
      <t xml:space="preserve"> </t>
    </r>
    <r>
      <rPr>
        <sz val="10"/>
        <rFont val="Arial (W1)"/>
      </rPr>
      <t>(RWP - Objektblätter)</t>
    </r>
  </si>
  <si>
    <r>
      <t xml:space="preserve">Planausschnitt 1:5'000 </t>
    </r>
    <r>
      <rPr>
        <sz val="11"/>
        <rFont val="Arial (W1)"/>
      </rPr>
      <t>liegt als Skizze oder Plan bei</t>
    </r>
  </si>
  <si>
    <r>
      <t>Seilkranförderung:</t>
    </r>
    <r>
      <rPr>
        <sz val="10"/>
        <rFont val="Arial"/>
        <family val="2"/>
      </rPr>
      <t xml:space="preserve"> Herleitung der abrechenbaren Seillinienlänge</t>
    </r>
  </si>
  <si>
    <t>Berechnung</t>
  </si>
  <si>
    <t>Übertrag in Abrechnung</t>
  </si>
  <si>
    <t>Seillinienlänge m' - Abzug = abrechenbare Seillinienlänge in m'
(falls &gt; 1/3 Nichteingriffsfläche oder Offenland)</t>
  </si>
  <si>
    <t>-</t>
  </si>
  <si>
    <r>
      <t>Jungwaldpflege:</t>
    </r>
    <r>
      <rPr>
        <sz val="10"/>
        <rFont val="Arial"/>
        <family val="2"/>
      </rPr>
      <t xml:space="preserve"> Herleitung der Abrechnungsfläche</t>
    </r>
  </si>
  <si>
    <r>
      <t xml:space="preserve">Pflege im OSW: </t>
    </r>
    <r>
      <rPr>
        <sz val="10"/>
        <rFont val="Arial"/>
        <family val="2"/>
      </rPr>
      <t>Herleitung der Abrechnungsfläche</t>
    </r>
  </si>
  <si>
    <t>Kriterien für Faktor</t>
  </si>
  <si>
    <t>Andere</t>
  </si>
  <si>
    <t>Ziel des Eingriffes</t>
  </si>
  <si>
    <r>
      <t xml:space="preserve">Zustimmung der betroffenen Fachstellen </t>
    </r>
    <r>
      <rPr>
        <sz val="11"/>
        <rFont val="Arial (W1)"/>
      </rPr>
      <t>(Abt NG, TBA, FI, JI, ANF). TBA und FI sind durch die Trägerschaft zu konsultieren, die übrigen durch die Waldabteilung.</t>
    </r>
  </si>
  <si>
    <t>Fachstelle</t>
  </si>
  <si>
    <t>Mitbericht vom</t>
  </si>
  <si>
    <t>Abteilung Naturgefahren (Abt NG)</t>
  </si>
  <si>
    <t>Tiefbauamt (TBA)</t>
  </si>
  <si>
    <t>Fischereiinspektorat (FI)</t>
  </si>
  <si>
    <t>Jagdinspektorat (JI)</t>
  </si>
  <si>
    <t>Abteilung Naturförderung (ANF)</t>
  </si>
  <si>
    <t>Die Projektleitung</t>
  </si>
  <si>
    <t>Strasse / Nr.</t>
  </si>
  <si>
    <t>x / y</t>
  </si>
  <si>
    <t>Trägerschaft:</t>
  </si>
  <si>
    <t>NDH</t>
  </si>
  <si>
    <t>alle Baumarten</t>
  </si>
  <si>
    <r>
      <t>Lokalname:</t>
    </r>
    <r>
      <rPr>
        <sz val="11"/>
        <color indexed="10"/>
        <rFont val="Arial"/>
        <family val="2"/>
      </rPr>
      <t>*</t>
    </r>
  </si>
  <si>
    <r>
      <t>Gemeinde:</t>
    </r>
    <r>
      <rPr>
        <sz val="12"/>
        <color indexed="10"/>
        <rFont val="Arial"/>
        <family val="2"/>
      </rPr>
      <t>*</t>
    </r>
  </si>
  <si>
    <r>
      <t>Reviernr.:</t>
    </r>
    <r>
      <rPr>
        <sz val="12"/>
        <color indexed="10"/>
        <rFont val="Arial"/>
        <family val="2"/>
      </rPr>
      <t>*</t>
    </r>
  </si>
  <si>
    <t>Stück</t>
  </si>
  <si>
    <t>Stämme entfernen Bodenzug</t>
  </si>
  <si>
    <t>10 - 20m</t>
  </si>
  <si>
    <t>21 - 40m</t>
  </si>
  <si>
    <t>Stämme entfernen Seilzug</t>
  </si>
  <si>
    <t>alle Distanzen</t>
  </si>
  <si>
    <t>Stämme entfernen Helikopter</t>
  </si>
  <si>
    <t>Fr. Total</t>
  </si>
  <si>
    <t xml:space="preserve"> </t>
  </si>
  <si>
    <t>Eingriffsfläche/ha x Faktor (%) = Abrechnungsfläche/ha</t>
  </si>
  <si>
    <t>Name:</t>
  </si>
  <si>
    <t>Vorname:</t>
  </si>
  <si>
    <t>Adresse:</t>
  </si>
  <si>
    <t>PLZ / Ort:</t>
  </si>
  <si>
    <t xml:space="preserve"> /</t>
  </si>
  <si>
    <t>Tarif 21</t>
  </si>
  <si>
    <t>Tarif 22</t>
  </si>
  <si>
    <t>Tarif 23</t>
  </si>
  <si>
    <t>Obersimmental mittel</t>
  </si>
  <si>
    <t>Meiringen-Rosenlaui mittel</t>
  </si>
  <si>
    <t>Kander-Engstligen mittel</t>
  </si>
  <si>
    <t>Rinde- und Ernteverlust</t>
  </si>
  <si>
    <t>Total netto</t>
  </si>
  <si>
    <t>Total Netto</t>
  </si>
  <si>
    <r>
      <t xml:space="preserve">Koordinaten: x / y </t>
    </r>
    <r>
      <rPr>
        <sz val="11"/>
        <color indexed="10"/>
        <rFont val="Arial"/>
        <family val="2"/>
      </rPr>
      <t>*</t>
    </r>
  </si>
  <si>
    <t>Waldabteilung</t>
  </si>
  <si>
    <t>Seedorf</t>
  </si>
  <si>
    <t>Burgdorf Süd</t>
  </si>
  <si>
    <t>Tarif 24</t>
  </si>
  <si>
    <t>Tarif 25</t>
  </si>
  <si>
    <t>Tarif 26</t>
  </si>
  <si>
    <t>Tarif 27</t>
  </si>
  <si>
    <t>Tarif 28</t>
  </si>
  <si>
    <t>Tarif 29</t>
  </si>
  <si>
    <t>Tarif 30</t>
  </si>
  <si>
    <t>Tarif faible No. 1</t>
  </si>
  <si>
    <t>Tarif moyen No. 2</t>
  </si>
  <si>
    <t>Tarif fort No. 3</t>
  </si>
  <si>
    <t>Frauenkappelen - Mühleberg NdH</t>
  </si>
  <si>
    <t>Frauenkappelen - Mühleberg LbH</t>
  </si>
  <si>
    <t>Mühleberg NdH</t>
  </si>
  <si>
    <t>Bernerjura</t>
  </si>
  <si>
    <t>Mittelland</t>
  </si>
  <si>
    <t>Oberland</t>
  </si>
  <si>
    <t>Voralpen</t>
  </si>
  <si>
    <t>Email:</t>
  </si>
  <si>
    <t>Tarif 31</t>
  </si>
  <si>
    <t>neuer Tarif</t>
  </si>
  <si>
    <r>
      <t>Reviername:</t>
    </r>
    <r>
      <rPr>
        <sz val="12"/>
        <color indexed="10"/>
        <rFont val="Arial"/>
        <family val="2"/>
      </rPr>
      <t>*</t>
    </r>
  </si>
  <si>
    <t>https://www.nais-form2.ch/Formular</t>
  </si>
  <si>
    <t>http://www.gebirgswald.ch/de/NaiS.html</t>
  </si>
  <si>
    <t>http://www.gebirgswald.ch/de/anforderungen-steinschlag.html</t>
  </si>
  <si>
    <t>Das NaiS-Formular 2 und die Anforderungen-Steinschlag muss über die Homepage gebirgswald.ch ausgefüllt werden.</t>
  </si>
  <si>
    <t>Gebirgswald.ch</t>
  </si>
  <si>
    <t>NaiS-Formular_2</t>
  </si>
  <si>
    <t>Anforderungen-Steinschlag</t>
  </si>
  <si>
    <t>OSW - Objektschutzwaldpflege</t>
  </si>
  <si>
    <t>KS 6.1/7</t>
  </si>
  <si>
    <t>Amt für Wald und Naturgefahren</t>
  </si>
  <si>
    <t>Massnahmen A</t>
  </si>
  <si>
    <t>Massennahmen B</t>
  </si>
  <si>
    <t>Massnahmen C</t>
  </si>
  <si>
    <t>Massnahmen D</t>
  </si>
  <si>
    <t xml:space="preserve"> - Austrichtern</t>
  </si>
  <si>
    <t xml:space="preserve"> - Jungwuchspflege</t>
  </si>
  <si>
    <t xml:space="preserve"> - Stumpen (einmalig)</t>
  </si>
  <si>
    <t xml:space="preserve"> - Ringeln (einmalig)</t>
  </si>
  <si>
    <t xml:space="preserve"> - Dickungspflege</t>
  </si>
  <si>
    <t xml:space="preserve"> - Stangenholzpflege bis BHD 30cm</t>
  </si>
  <si>
    <t xml:space="preserve"> - Pflege stufiger Bestände</t>
  </si>
  <si>
    <t xml:space="preserve"> - Rottenpflege</t>
  </si>
  <si>
    <t xml:space="preserve"> - Holzerei mit Verwertung</t>
  </si>
  <si>
    <t xml:space="preserve"> - Holzerei ohne Verwertung</t>
  </si>
  <si>
    <t>inkl. Schlagräumung und Schlagpflege</t>
  </si>
  <si>
    <t>inkl. fängisches Holz Entrinden</t>
  </si>
  <si>
    <t xml:space="preserve"> - Holzerei mir angeordneter Bringung</t>
  </si>
  <si>
    <t xml:space="preserve">   und/oder</t>
  </si>
  <si>
    <t xml:space="preserve"> - Holzerei mit gesicherter angeordneten</t>
  </si>
  <si>
    <t>inkl. Schlagpflege und Schlagräumung</t>
  </si>
  <si>
    <t>jährlich 1 x</t>
  </si>
  <si>
    <t>1 x pro Entwicklungsstufe</t>
  </si>
  <si>
    <t>oder max. alle 6 Jahre</t>
  </si>
  <si>
    <t xml:space="preserve"> - gundsätzlich 1 x alle 20 Jahre</t>
  </si>
  <si>
    <t xml:space="preserve"> - anteilsmässige Aufteilung auf Grundpauschalen C und D möglich</t>
  </si>
  <si>
    <t>Grundpauschalen A</t>
  </si>
  <si>
    <t>Grundpauschale B</t>
  </si>
  <si>
    <t>Grundpauschale C</t>
  </si>
  <si>
    <t>Grundpauschale D</t>
  </si>
  <si>
    <t>Schadenpotential mittel</t>
  </si>
  <si>
    <t>Beitragsmodell / Beilage 3a Lawinen und Steinschlag</t>
  </si>
  <si>
    <t xml:space="preserve"> - Einzelobjekte wie Wohnhäuser, landwirschaftliche</t>
  </si>
  <si>
    <t xml:space="preserve">   Hauptökonomiegebäude, EW, ARA</t>
  </si>
  <si>
    <t xml:space="preserve"> - weniger wichtige Strassen zu ganzjährig bewohnten</t>
  </si>
  <si>
    <t xml:space="preserve">   Häusern (DTV &lt; 1'000)</t>
  </si>
  <si>
    <t xml:space="preserve"> - erhebliche Sachwerte wie Staudamm,</t>
  </si>
  <si>
    <t xml:space="preserve">   Wasserversorgungen, Versorgungsleitungen</t>
  </si>
  <si>
    <t>Schadenpotential gross</t>
  </si>
  <si>
    <t xml:space="preserve"> - Weiler (ständige Einwohnerzahl 20 bis 100)</t>
  </si>
  <si>
    <t xml:space="preserve"> - wichtiger Verkehrsweg (Bahn mit Fahrplanpflicht,</t>
  </si>
  <si>
    <t xml:space="preserve">   National- und Kantonsstrassen mit DTV &gt;1'000)</t>
  </si>
  <si>
    <t xml:space="preserve"> - öffentliche Anlagen, Industrie- und Gewerbegebäude</t>
  </si>
  <si>
    <t>Schadenpotential sehr gross</t>
  </si>
  <si>
    <t xml:space="preserve"> - Dorf</t>
  </si>
  <si>
    <t xml:space="preserve"> - grosser Dorfteil (ständige Einwohnerzahl &gt; 100)</t>
  </si>
  <si>
    <t>Zuschläge sofern Zustimmung Waldabteilung Bereichsleiter Schutzwald vorliegt</t>
  </si>
  <si>
    <t>Laubholzanteil ≥ 80%</t>
  </si>
  <si>
    <t xml:space="preserve"> --</t>
  </si>
  <si>
    <t>Wegzeit-Zuschlag (WeZZ), auf Grundpauschale</t>
  </si>
  <si>
    <t>Wartezeit-Zuschlag (WaZZ), auf Grundpauschale</t>
  </si>
  <si>
    <t>sofern Voraussetzungen gem. Kreisschreiben erfüllt:</t>
  </si>
  <si>
    <t>Wartezeit &gt; als 30 Min.: in Absprache mit dem Fachbereich Förderung</t>
  </si>
  <si>
    <t>Begehungswege</t>
  </si>
  <si>
    <t>Neubau 12.-- CHF/m'</t>
  </si>
  <si>
    <t>Unterhalt 3.-- CHF/m'</t>
  </si>
  <si>
    <t>Baumsicherungen; Schutznetze; usw.)</t>
  </si>
  <si>
    <t>Dreibeinböcke pro Stück (Kastanienholz)</t>
  </si>
  <si>
    <t>Aktive Wildschadenverhütungsmassnahmen</t>
  </si>
  <si>
    <t>(Lebensraumverbesserungen)</t>
  </si>
  <si>
    <t>Passive Wildschadenverhütung (z.B. Einzelschutz;</t>
  </si>
  <si>
    <t>max. 1x pro Entwicklungsstufe)</t>
  </si>
  <si>
    <t>Weiserfläche</t>
  </si>
  <si>
    <t>235.-- CHF/Stk.</t>
  </si>
  <si>
    <t>Ersteingriff / Schaffung von Freihalteflächen max. 10'000.-- CHF/ha</t>
  </si>
  <si>
    <t>Folgeeingriff: Pflege von Freihalteflächen max. 4'000.-- CHF/ha</t>
  </si>
  <si>
    <t>max. 10'000.-- CHF/ha</t>
  </si>
  <si>
    <t>Einrichten der Weiserflächen inkl. Erstaufnahme 1'200.-- CHF/Stk.</t>
  </si>
  <si>
    <t>Folgeaufnahmen der Weiserfläche 600.-- CHF/Stk</t>
  </si>
  <si>
    <t>1) Abrechnungsfläche Stumpen: pro gestumptem Baum wird eine Fläche von 1.50 Aren angerechnet = 1.50 Aren / pro Baum</t>
  </si>
  <si>
    <t>mit vorgängig festgelegtem Pauschalansatz; durch WAbt angeordnet und genehmigt;</t>
  </si>
  <si>
    <t>(in der Regel Personensicherung und Schwenkdseil 50.-- CHF/Stk.,</t>
  </si>
  <si>
    <t>Stock- / Baumsicherung 35.-- CHF/Stk.)</t>
  </si>
  <si>
    <t>2'000.-- CHF/ha (A0)</t>
  </si>
  <si>
    <t xml:space="preserve">2'000.-- CHF/ha (A0) </t>
  </si>
  <si>
    <t>10'000.-- CHF/ha (C0)</t>
  </si>
  <si>
    <t>15'000.-- CHF/ha (D0)</t>
  </si>
  <si>
    <t xml:space="preserve">10'000.-- CHF/ha (C0) </t>
  </si>
  <si>
    <t xml:space="preserve">15'000.-- CHF/ha (D0) </t>
  </si>
  <si>
    <t>2'200.-- CHF/ha (A10)</t>
  </si>
  <si>
    <t xml:space="preserve">2'200.-- CHF/ha (A10) </t>
  </si>
  <si>
    <t>11'000.-- CHF/ha (C10)</t>
  </si>
  <si>
    <t xml:space="preserve">11'000.-- CHF/ha (C10) </t>
  </si>
  <si>
    <t>16'500.-- CHF/ha (D10)</t>
  </si>
  <si>
    <t xml:space="preserve">16'500.-- CHF/ha (D10) </t>
  </si>
  <si>
    <t>2'400.-- CHF/ha (A20)</t>
  </si>
  <si>
    <t xml:space="preserve">2'400.-- CHF/ha (A20) </t>
  </si>
  <si>
    <t>12'000.-- CHF/ha (C20)</t>
  </si>
  <si>
    <t>18'000.-- CHF/ha (D20)</t>
  </si>
  <si>
    <t xml:space="preserve">12'000.-- CHF/ha (C20) </t>
  </si>
  <si>
    <t xml:space="preserve">18'000.-- CHF/ha (D20) </t>
  </si>
  <si>
    <t>Sicherheitsmassnahmen (z.B. Personen- und</t>
  </si>
  <si>
    <t xml:space="preserve">
Grundpauschalen
Lawinen und Steinschlag</t>
  </si>
  <si>
    <t xml:space="preserve">GIS-ID: </t>
  </si>
  <si>
    <t>Beitragsmodell / Beilage 3b Rutschung und Hangmuren</t>
  </si>
  <si>
    <t>Beitragsmodell Kreisschreiben Pflege im OSW Rutschung und Hangmuren</t>
  </si>
  <si>
    <t>Grundpauschale A</t>
  </si>
  <si>
    <t>Grundpauschale E</t>
  </si>
  <si>
    <t>Grundpauschale F</t>
  </si>
  <si>
    <t>B1</t>
  </si>
  <si>
    <t>B2</t>
  </si>
  <si>
    <r>
      <t xml:space="preserve">bei </t>
    </r>
    <r>
      <rPr>
        <b/>
        <u/>
        <sz val="10"/>
        <rFont val="Arial"/>
        <family val="2"/>
      </rPr>
      <t xml:space="preserve">mittlerem
</t>
    </r>
    <r>
      <rPr>
        <b/>
        <sz val="10"/>
        <rFont val="Arial"/>
        <family val="2"/>
      </rPr>
      <t>Schadenpotenzial</t>
    </r>
  </si>
  <si>
    <r>
      <t xml:space="preserve">bei </t>
    </r>
    <r>
      <rPr>
        <b/>
        <u/>
        <sz val="10"/>
        <rFont val="Arial"/>
        <family val="2"/>
      </rPr>
      <t xml:space="preserve">grossem / 
sehr grossem
</t>
    </r>
    <r>
      <rPr>
        <b/>
        <sz val="10"/>
        <rFont val="Arial"/>
        <family val="2"/>
      </rPr>
      <t>Schadenpotenzial</t>
    </r>
  </si>
  <si>
    <t xml:space="preserve"> - Schlagpflege</t>
  </si>
  <si>
    <t xml:space="preserve">   (einmalig)</t>
  </si>
  <si>
    <t>Dickungspflege</t>
  </si>
  <si>
    <t xml:space="preserve"> - Stangenholzpflege bis
  </t>
  </si>
  <si>
    <t xml:space="preserve">   BHD 30 cm</t>
  </si>
  <si>
    <t xml:space="preserve"> - entfernen von instabilen,</t>
  </si>
  <si>
    <t xml:space="preserve">   sturzgefährdeten</t>
  </si>
  <si>
    <t xml:space="preserve">   Einzelbäumen</t>
  </si>
  <si>
    <t xml:space="preserve"> - Holzereimassnahmen</t>
  </si>
  <si>
    <t xml:space="preserve">   (mit/ohne Verwertung)</t>
  </si>
  <si>
    <t>1 x jährlich</t>
  </si>
  <si>
    <t>1 x pro Entwicklungsstufe oder</t>
  </si>
  <si>
    <t>max. alle 6 Jahre</t>
  </si>
  <si>
    <t>je nach Handlungsbedarf</t>
  </si>
  <si>
    <t>jährlich möglich</t>
  </si>
  <si>
    <t>grundsätzlich alle</t>
  </si>
  <si>
    <t>10 - 20 Jahre</t>
  </si>
  <si>
    <t>2'000.-- CHF/ha</t>
  </si>
  <si>
    <t xml:space="preserve">2'000.-- CHF/ha </t>
  </si>
  <si>
    <t>2'500.-- CHF/ha</t>
  </si>
  <si>
    <t xml:space="preserve">2'500.-- CHF/ha </t>
  </si>
  <si>
    <t>bis 100.-- CHF/Baum, es gilt die Herleitung gemäss KS 6.4/1 Forstschutz</t>
  </si>
  <si>
    <t xml:space="preserve">bis 100.-- CHF/Baum, es gilt die Herleitung gemäss KS 6.4/1 Forstschutz </t>
  </si>
  <si>
    <t>10'000.-- CHF/ha</t>
  </si>
  <si>
    <t xml:space="preserve">10'000.-- CHF/ha </t>
  </si>
  <si>
    <t>Aktive Wildschadenverhütung</t>
  </si>
  <si>
    <t>(Lebensraumaufwertung)</t>
  </si>
  <si>
    <t>Ersteingriff / Schaffung von Freihalteflächen</t>
  </si>
  <si>
    <t>Folgeeingriff: Pflege von Freihalteflächen</t>
  </si>
  <si>
    <t>max. 4'000.-- CHF/ha</t>
  </si>
  <si>
    <t>Passive Wildschadenverhütung</t>
  </si>
  <si>
    <t>z.B. Einzelschutz; max. 1x pro Entwicklungsstufe</t>
  </si>
  <si>
    <t>Einrichten der Weiserfläche inkl. Erstaufnahme</t>
  </si>
  <si>
    <t>Folgeaufnahmen der Weiserfläche</t>
  </si>
  <si>
    <t>1'200.-- CHF/Stk</t>
  </si>
  <si>
    <t>600.-- CHF/Stk</t>
  </si>
  <si>
    <t>Hinweise</t>
  </si>
  <si>
    <t>● Bei Holzereimassnahmen (Massnahmen E und F) sind Schlagräumung und Entrinden von fängischem Holz inbegriffen.</t>
  </si>
  <si>
    <t>● Zuschläge für Wegzeit, Wartezeit, Laubholz oder Begehungswege sind nicht vorgesehen.</t>
  </si>
  <si>
    <t>● Es gelten die Schadenpotenzialkategorien gem. Kap. 4.4 KS Pflege im OSW 6.1/7.</t>
  </si>
  <si>
    <t>● Bei Massnahme F ist die Schlagpflege inbegriffen. Bei Massnahme E oder falls keine Beiträge an die Holzerei ausgerichtet
   wurden, kann die Schlagpflege mit Grundpauschale A einmalig abgerechnet werden.</t>
  </si>
  <si>
    <t>● Der Entscheid über allfällige Zuschläge für Sicherheitsholzerei liegt bei der Waldabteilung (BL WA SW). Es gelten dabei
   die Ansätze und Grundsätze gem. Beitragsmodell im Lawinen- und Steinschlagschutzwald.</t>
  </si>
  <si>
    <r>
      <t xml:space="preserve">● Massnahme E: Die Beurteilung der Baumstabilität und die Festlegung der anrechenbaren Anzahl Bäume erfolgen
   einzelbaumweise im Rahmen der Anzeichnung durch die Waldabteilung. Für die Herleitung gilt die Beilage 4 </t>
    </r>
    <r>
      <rPr>
        <i/>
        <sz val="10"/>
        <rFont val="Arial"/>
        <family val="2"/>
      </rPr>
      <t>des
   Kreisschreibens 6.4/1 Forstschutz</t>
    </r>
    <r>
      <rPr>
        <sz val="10"/>
        <rFont val="Arial"/>
        <family val="2"/>
      </rPr>
      <t>. Der Beitrag pro m³ wird über den durchschnittlichen Mittelstamm in einen Betrag
   pro Baum umgerechnet. Übersteigt der hergeleitete Betrag 100.-- CHF/Baum ist ein höhere Ansatz in Ausnahmefällen möglich.
   Der Entscheid liegt beim Bereich SBW.</t>
    </r>
  </si>
  <si>
    <r>
      <t xml:space="preserve">● Angabe Fläche bei E-Pauschale: </t>
    </r>
    <r>
      <rPr>
        <u/>
        <sz val="10"/>
        <rFont val="Arial"/>
        <family val="2"/>
      </rPr>
      <t>pro Baum 1 Are</t>
    </r>
    <r>
      <rPr>
        <sz val="10"/>
        <rFont val="Arial"/>
        <family val="2"/>
      </rPr>
      <t xml:space="preserve"> (wichtig für die Abrechnung im Rahmen des NFA-Programms).</t>
    </r>
  </si>
  <si>
    <t>Beilage 6 / Beurteilung Rutschung und Hangmuren</t>
  </si>
  <si>
    <t>Beurteilung der Beitragsberechtigung für Massnahmen E / F</t>
  </si>
  <si>
    <t>Kriterien</t>
  </si>
  <si>
    <t xml:space="preserve">1a. </t>
  </si>
  <si>
    <t>1b.</t>
  </si>
  <si>
    <t>1c.</t>
  </si>
  <si>
    <t>2a.</t>
  </si>
  <si>
    <t>2b.</t>
  </si>
  <si>
    <t>Zutreffendes bitte ankreuzen:</t>
  </si>
  <si>
    <r>
      <t xml:space="preserve">Gibt es </t>
    </r>
    <r>
      <rPr>
        <u/>
        <sz val="10"/>
        <rFont val="Arial"/>
        <family val="2"/>
      </rPr>
      <t>Wasseraustritte</t>
    </r>
    <r>
      <rPr>
        <sz val="10"/>
        <rFont val="Arial"/>
        <family val="2"/>
      </rPr>
      <t xml:space="preserve"> an der Oberfläche?</t>
    </r>
  </si>
  <si>
    <r>
      <t xml:space="preserve">Weist der </t>
    </r>
    <r>
      <rPr>
        <u/>
        <sz val="10"/>
        <rFont val="Arial"/>
        <family val="2"/>
      </rPr>
      <t>Boden</t>
    </r>
    <r>
      <rPr>
        <sz val="10"/>
        <rFont val="Arial"/>
        <family val="2"/>
      </rPr>
      <t xml:space="preserve"> deutliche Vernässungsmerkmale auf?</t>
    </r>
  </si>
  <si>
    <r>
      <t xml:space="preserve">Sind im Gelände </t>
    </r>
    <r>
      <rPr>
        <u/>
        <sz val="10"/>
        <rFont val="Arial"/>
        <family val="2"/>
      </rPr>
      <t>Anzeichen</t>
    </r>
    <r>
      <rPr>
        <sz val="10"/>
        <rFont val="Arial"/>
        <family val="2"/>
      </rPr>
      <t xml:space="preserve"> für Hangrutsche oder flachgründige Rutschungen?
</t>
    </r>
    <r>
      <rPr>
        <i/>
        <sz val="8"/>
        <rFont val="Arial"/>
        <family val="2"/>
      </rPr>
      <t>"Stumme Zeugen" (= Spuren von alten Ereignissen), Relief, krumme Bäume, offener Boden, …</t>
    </r>
  </si>
  <si>
    <r>
      <t xml:space="preserve">Sind in der Nähe /Gegend im </t>
    </r>
    <r>
      <rPr>
        <u/>
        <sz val="10"/>
        <rFont val="Arial"/>
        <family val="2"/>
      </rPr>
      <t>Ereigniskataster</t>
    </r>
    <r>
      <rPr>
        <sz val="10"/>
        <rFont val="Arial"/>
        <family val="2"/>
      </rPr>
      <t xml:space="preserve"> Ereignisse, Hangmuren oder flachgründige Rutschungen dikumentiert? Ergänzend zum Ereigniskataster kann auch regionales oder lokales Wissen z.B. von Werkeigentümern oder Unterlieger als Grundlage dienen.
</t>
    </r>
    <r>
      <rPr>
        <i/>
        <sz val="8"/>
        <rFont val="Arial"/>
        <family val="2"/>
      </rPr>
      <t>&gt; Ereignisse, die im Ereigniskataster fehlen, sind der Abt. Naturgefahren zu melden, damit sie als Grundlage für die Beitragsberechtigung anerkannt werden können!</t>
    </r>
  </si>
  <si>
    <r>
      <t xml:space="preserve">Gibt es in der </t>
    </r>
    <r>
      <rPr>
        <u/>
        <sz val="10"/>
        <rFont val="Arial"/>
        <family val="2"/>
      </rPr>
      <t>Gefahrenkarte</t>
    </r>
    <r>
      <rPr>
        <sz val="10"/>
        <rFont val="Arial"/>
        <family val="2"/>
      </rPr>
      <t xml:space="preserve"> der Gemeinde Hinweise auf Hangmuren oder flachgründige Rutsche?
</t>
    </r>
    <r>
      <rPr>
        <i/>
        <sz val="8"/>
        <rFont val="Arial"/>
        <family val="2"/>
      </rPr>
      <t>Hinweis: oft liegt der Wald im Perimeter B, d.h. ausserhalb der detaillierten Gefahrenkarte. Dort erscheint dann i.d.R. die Hangmurenhinweise aus SilvaProtect. Diese sollten gier nicht als Hinweis gelten.
Kann es als wahrscheinlich/realistisch angesehen werden, dass die Gefahrenkarte in Bezug auf die angesprochene Hangmurenschutzwaldfläche aussagekräftig / von Relevanz ist?
Distanz zum Schadenpotenzial, Distanz zu der in der Gefahrenkarte genauer angesprochenen Fläche?</t>
    </r>
  </si>
  <si>
    <t>Beurteilung</t>
  </si>
  <si>
    <t>Bemerkungen:</t>
  </si>
  <si>
    <t>Datum:</t>
  </si>
  <si>
    <t>Trägerschaft</t>
  </si>
  <si>
    <t>Sicherheitsverantwortliche Stelle (SiV)</t>
  </si>
  <si>
    <t>Waldeigentümer</t>
  </si>
  <si>
    <t>Projektname</t>
  </si>
  <si>
    <t>Waldeinheit</t>
  </si>
  <si>
    <t>Fm</t>
  </si>
  <si>
    <t>Kosten</t>
  </si>
  <si>
    <t>Position</t>
  </si>
  <si>
    <t>Ansatz</t>
  </si>
  <si>
    <t>CHF/ha</t>
  </si>
  <si>
    <t>CHF/Fm</t>
  </si>
  <si>
    <t>Kosten CHF</t>
  </si>
  <si>
    <t>Projektleitung</t>
  </si>
  <si>
    <t>Finanzierung</t>
  </si>
  <si>
    <t>CHF/Einheit</t>
  </si>
  <si>
    <t>Kosten insgesamt</t>
  </si>
  <si>
    <t>Subventionen (Gesuch)</t>
  </si>
  <si>
    <t>Die Massnahme wird nicht ausgeführt.</t>
  </si>
  <si>
    <t>Die Sicherheitsverantwortliche Stelle ( SiV)</t>
  </si>
  <si>
    <t>Stempel / Ort / Datum</t>
  </si>
  <si>
    <t>Kalkulation Kosten und Finanzierung Schutzwaldpflege</t>
  </si>
  <si>
    <t>Waldabteilung (WA)</t>
  </si>
  <si>
    <t>1a</t>
  </si>
  <si>
    <r>
      <t xml:space="preserve">Ausführungskosten / AVOR
</t>
    </r>
    <r>
      <rPr>
        <sz val="8"/>
        <color indexed="8"/>
        <rFont val="Arial"/>
        <family val="2"/>
      </rPr>
      <t>(gemäss Offerte / Jahresprogramm)</t>
    </r>
  </si>
  <si>
    <t>effektiv</t>
  </si>
  <si>
    <t>1b</t>
  </si>
  <si>
    <t>AVOR</t>
  </si>
  <si>
    <r>
      <t xml:space="preserve">Umgelagerte Kosten
</t>
    </r>
    <r>
      <rPr>
        <sz val="8"/>
        <color indexed="8"/>
        <rFont val="Arial"/>
        <family val="2"/>
      </rPr>
      <t>(Waldüberwachung, Erschliessung, Verwaltung)</t>
    </r>
  </si>
  <si>
    <t>Risikopauschale</t>
  </si>
  <si>
    <t>Nettoholzerlöse</t>
  </si>
  <si>
    <t>Beitrag SiV</t>
  </si>
  <si>
    <t>pauschal</t>
  </si>
  <si>
    <t>Total Finanzierung / Saldo</t>
  </si>
  <si>
    <t>Der Träger</t>
  </si>
  <si>
    <t>Grundsatzvereinbarung SiV zur Schutzwaldpflege</t>
  </si>
  <si>
    <t>Der Schutzwald im Gebiet der Gemeinde XY / im Perimeter … soll seine Schutzwirkung zu Gunsten der Bevölkerung und der Nutzer von Infrastrukturen nachhaltig erfüllen. In dieser Vereinbarung werden die nötigen Grundsätze bezüglich Verantwortlichkeiten, Kosten, Abrechnung, Holzverwendung etc. geregelt. Es handelt sich um eine Grundsatzvereinbarung ohne direkte Kostenfolge.</t>
  </si>
  <si>
    <t>Die vorliegende Vereinbarung wird geschlossen zwischen</t>
  </si>
  <si>
    <r>
      <t xml:space="preserve">der Gemeinde xy / der Anlagebetreiberin xy als </t>
    </r>
    <r>
      <rPr>
        <b/>
        <sz val="11"/>
        <rFont val="Arial"/>
        <family val="2"/>
      </rPr>
      <t>sicherheitsverantwortliche Stelle (SiV)</t>
    </r>
  </si>
  <si>
    <t>und</t>
  </si>
  <si>
    <t>dem Waldeigentümer / der Waldeigentümerin …</t>
  </si>
  <si>
    <t>vertreten durch</t>
  </si>
  <si>
    <t>…</t>
  </si>
  <si>
    <t>Tel. …</t>
  </si>
  <si>
    <t>Natel …</t>
  </si>
  <si>
    <t>E-Mail: …</t>
  </si>
  <si>
    <t xml:space="preserve">Name, Funktion und Adresse </t>
  </si>
  <si>
    <t>Natel: …</t>
  </si>
  <si>
    <t>Die Vereinbarung gilt beidseitig ausdrücklich auch für die jeweiligen Rechtsnachfolger. Die Vertragsparteien verpflichten sich, dafür zu sorgen, dass Rechtsnachfolger bei einem Verkauf oder Erbgang sowie neue Amtsinhaber von dieser Vereinbarung Kenntnis erhalten.</t>
  </si>
  <si>
    <t>Zur Beurteilung des Gefahren- und Schadenpotenzials im Perimeter liegt ein Auszug der Schutzwaldhinweiskarte von DATUM vor (Anhang 1).</t>
  </si>
  <si>
    <t>Der Perimeter, für welche diese Grundsatzvereinbarung gilt, umfasst die Parzellen … / den Schutzwald xy. Der genaue Perimeter ist auf dem beiliegenden Plan im Massstab 1: … vom … (Datum) ersichtlich (Anhang 2).</t>
  </si>
  <si>
    <t>Die Grundsatzvereinbarung gilt ab dem Datum der Unterzeichnung für eine Dauer von …Jahren (xx.xx.xxxx bis xx.xx.xxxx). Ohne schriftliche Kündigung bis 3 Monate vor Ablauf, verlängert sie sich stillschweigend jeweils um 1 Jahr.</t>
  </si>
  <si>
    <t>Die Grundsatzvereinbarung gilt grundsätzlich auch bei ausserordentlichen Naturereignissen wie z.B. Sturm oder Lawinenschaden. Bei massiven Auswirkungen von Naturereignissen setzen sich die Parteien innert kurzer Frist zusammen, um das weitere Vorgehen festzulegen. Die Parteien können sich dabei auch darauf einigen, rückwirkend auf den Tag des ausserordentlichen Naturereignisses von dieser Vereinbarung zurückzutreten.</t>
  </si>
  <si>
    <t>Der Waldeigentümer (…)  / die sicherheitsverantwortliche Stelle übernimmt die Trägerschaft der Schutzwaldpflege in den Wäldern in der Gemeinde XY. Die Projektleitung wird durch die Trägerschaft übernommen oder bestimmt. Sie verfügt über das erforderliche Fachwissen.</t>
  </si>
  <si>
    <t>Rechte und Pflichten der Vertragsparteien sind im Anhang 3 aufgeführt.</t>
  </si>
  <si>
    <t>Die Kosten werden in folgenden Positionen erhoben:</t>
  </si>
  <si>
    <r>
      <t>(1)</t>
    </r>
    <r>
      <rPr>
        <sz val="7"/>
        <rFont val="Times New Roman"/>
        <family val="1"/>
      </rPr>
      <t xml:space="preserve">  </t>
    </r>
    <r>
      <rPr>
        <sz val="11"/>
        <rFont val="Arial"/>
        <family val="2"/>
      </rPr>
      <t>Bruttokosten für die Massnahmen / Ausführung (inkl. AVOR, Projektleitung, umgelagerte Kosten, Risikopauschale und MwSt.)</t>
    </r>
  </si>
  <si>
    <r>
      <t>(2)</t>
    </r>
    <r>
      <rPr>
        <sz val="7"/>
        <rFont val="Times New Roman"/>
        <family val="1"/>
      </rPr>
      <t xml:space="preserve">  </t>
    </r>
    <r>
      <rPr>
        <sz val="11"/>
        <rFont val="Arial"/>
        <family val="2"/>
      </rPr>
      <t>Kantonsbeiträge für ausgeführte Massnahmen (Subventionen)</t>
    </r>
  </si>
  <si>
    <r>
      <t>(3)</t>
    </r>
    <r>
      <rPr>
        <sz val="7"/>
        <rFont val="Times New Roman"/>
        <family val="1"/>
      </rPr>
      <t xml:space="preserve">  </t>
    </r>
    <r>
      <rPr>
        <sz val="11"/>
        <rFont val="Arial"/>
        <family val="2"/>
      </rPr>
      <t>Holzerlös</t>
    </r>
  </si>
  <si>
    <r>
      <t>(4)</t>
    </r>
    <r>
      <rPr>
        <sz val="7"/>
        <rFont val="Times New Roman"/>
        <family val="1"/>
      </rPr>
      <t xml:space="preserve">  </t>
    </r>
    <r>
      <rPr>
        <sz val="11"/>
        <rFont val="Arial"/>
        <family val="2"/>
      </rPr>
      <t>Saldo (Restkosten für SiV).</t>
    </r>
  </si>
  <si>
    <t>Die Kostenberechnung wird wie folgt ausgeführt: 2 + 3 – 1 = 4</t>
  </si>
  <si>
    <t>ODER</t>
  </si>
  <si>
    <t>Die Vertragsparteien ermitteln die Kosten der Massnahmen und legen die Finanzierung fest. Die Ausführung konkreter Massnahmen, deren Finanzierung und weitere Abmachungen werden gemeinsam in Jahresprogrammen festgelegt. Der kantonale Forstdienst steht beratend zur Verfügung. Erst im Rahmen des Jahresprogramms verpflichten sich die Parteien zur Ausführung der vereinbarten Massnahmen und zur konkreten Finanzierung.</t>
  </si>
  <si>
    <t>Für die Ermittlung des Saldos gelten folgende Grundsätze:</t>
  </si>
  <si>
    <r>
      <t>·</t>
    </r>
    <r>
      <rPr>
        <sz val="7"/>
        <rFont val="Times New Roman"/>
        <family val="1"/>
      </rPr>
      <t xml:space="preserve">         </t>
    </r>
    <r>
      <rPr>
        <sz val="11"/>
        <rFont val="Arial"/>
        <family val="2"/>
      </rPr>
      <t>Der Holzerlös wird in die Berechnung miteinbezogen.</t>
    </r>
  </si>
  <si>
    <r>
      <t>·</t>
    </r>
    <r>
      <rPr>
        <sz val="7"/>
        <rFont val="Times New Roman"/>
        <family val="1"/>
      </rPr>
      <t xml:space="preserve">         </t>
    </r>
    <r>
      <rPr>
        <sz val="11"/>
        <rFont val="Arial"/>
        <family val="2"/>
      </rPr>
      <t>Holz das im Bestand liegen bleiben muss (z.B. für Verbauungen, Querbäume, Moderholz) wird dem Vorhaben kostenlos zur Verfügung gestellt.</t>
    </r>
  </si>
  <si>
    <r>
      <t>·</t>
    </r>
    <r>
      <rPr>
        <sz val="7"/>
        <rFont val="Times New Roman"/>
        <family val="1"/>
      </rPr>
      <t xml:space="preserve">         </t>
    </r>
    <r>
      <rPr>
        <sz val="11"/>
        <rFont val="Arial"/>
        <family val="2"/>
      </rPr>
      <t>Um den Saldo zu ermitteln, werden alle Massnahmen (gemäss Kalkulation) in einem Kalenderjahr betrachtet, welche auf Grund dieser Vereinbarung ausgeführt werden.</t>
    </r>
  </si>
  <si>
    <r>
      <t>·</t>
    </r>
    <r>
      <rPr>
        <sz val="7"/>
        <rFont val="Times New Roman"/>
        <family val="1"/>
      </rPr>
      <t xml:space="preserve">         </t>
    </r>
    <r>
      <rPr>
        <sz val="11"/>
        <rFont val="Arial"/>
        <family val="2"/>
      </rPr>
      <t>Die anfallenden Restkosten werden durch die Sicherheitsverantwortlichen Stelle/n (SiV) getragen.</t>
    </r>
  </si>
  <si>
    <t>Die Parteien verpflichten sich, alle Meinungsverschiedenheiten und Streitigkeiten aus dieser Grundsatzvereinbarung möglichst einvernehmlich zu lösen. Bevor der Rechtsweg beschritten wird, ist das Gespräch zu suchen und es werten Mediations- und andere Verfahren gewählt, um die Meinungsverschiedenheiten beizulegen.</t>
  </si>
  <si>
    <t>Änderungen dieser Grundsatzvereinbarung sind nur gültig, wenn sie schriftlich erfolgen und von beiden Parteien unterzeichnet sind.</t>
  </si>
  <si>
    <t>Die Anhänge 1-3 stellen integrierende Bestandteile der Grundsatzvereinbarung dar. Die jeweiligen Jahresprogramme (Projekte) bilden ergänzende Anhänge zu dieser Grundsatzvereinbarung.</t>
  </si>
  <si>
    <t>Die sicherheitsverantwortliche Stelle:</t>
  </si>
  <si>
    <t>Der Waldeigentümer:</t>
  </si>
  <si>
    <t>Ort …, den …</t>
  </si>
  <si>
    <t>Funktion</t>
  </si>
  <si>
    <t>Anhang:</t>
  </si>
  <si>
    <r>
      <t>1.</t>
    </r>
    <r>
      <rPr>
        <sz val="7"/>
        <rFont val="Times New Roman"/>
        <family val="1"/>
      </rPr>
      <t xml:space="preserve">    </t>
    </r>
    <r>
      <rPr>
        <sz val="11"/>
        <rFont val="Arial"/>
        <family val="2"/>
      </rPr>
      <t>Ausschnitte Schutzwaldhinweiskarte XY</t>
    </r>
  </si>
  <si>
    <r>
      <t>2.</t>
    </r>
    <r>
      <rPr>
        <sz val="7"/>
        <rFont val="Times New Roman"/>
        <family val="1"/>
      </rPr>
      <t xml:space="preserve">    </t>
    </r>
    <r>
      <rPr>
        <sz val="11"/>
        <rFont val="Arial"/>
        <family val="2"/>
      </rPr>
      <t>Perimeter der Grundsatzvereinbarung</t>
    </r>
  </si>
  <si>
    <r>
      <t>3.</t>
    </r>
    <r>
      <rPr>
        <sz val="7"/>
        <rFont val="Times New Roman"/>
        <family val="1"/>
      </rPr>
      <t xml:space="preserve">    </t>
    </r>
    <r>
      <rPr>
        <sz val="11"/>
        <rFont val="Arial"/>
        <family val="2"/>
      </rPr>
      <t>Rechte und Pflichten der Vertragsparteien</t>
    </r>
  </si>
  <si>
    <t>Verteiler:</t>
  </si>
  <si>
    <r>
      <t>·</t>
    </r>
    <r>
      <rPr>
        <sz val="7"/>
        <rFont val="Times New Roman"/>
        <family val="1"/>
      </rPr>
      <t xml:space="preserve">      </t>
    </r>
    <r>
      <rPr>
        <sz val="11"/>
        <rFont val="Arial"/>
        <family val="2"/>
      </rPr>
      <t>Vertragsparteien (je 1)</t>
    </r>
  </si>
  <si>
    <r>
      <t>·</t>
    </r>
    <r>
      <rPr>
        <sz val="7"/>
        <rFont val="Times New Roman"/>
        <family val="1"/>
      </rPr>
      <t xml:space="preserve">      </t>
    </r>
    <r>
      <rPr>
        <sz val="11"/>
        <rFont val="Arial"/>
        <family val="2"/>
      </rPr>
      <t>Waldabteilung (1)</t>
    </r>
  </si>
  <si>
    <t>Grundpauschale</t>
  </si>
  <si>
    <t>WaZZ
in %</t>
  </si>
  <si>
    <t>WeZZ
in %</t>
  </si>
  <si>
    <t>Pflege im OSW KS 6.1/7</t>
  </si>
  <si>
    <t xml:space="preserve">1. </t>
  </si>
  <si>
    <t>Ziel und Zweck dieser Vereinbarung</t>
  </si>
  <si>
    <t>2.</t>
  </si>
  <si>
    <t>Parteien</t>
  </si>
  <si>
    <t>2.1</t>
  </si>
  <si>
    <t>Vertragsparteien und deren Vertreter</t>
  </si>
  <si>
    <t>2.2</t>
  </si>
  <si>
    <t>Rechtsnachfolge</t>
  </si>
  <si>
    <t>3.</t>
  </si>
  <si>
    <t>Perimeter</t>
  </si>
  <si>
    <t>4.</t>
  </si>
  <si>
    <t>Vereinbarungsdauer, Gültigkeit und Kündigung</t>
  </si>
  <si>
    <t>4.1</t>
  </si>
  <si>
    <t>Vereinbarungsdauer</t>
  </si>
  <si>
    <t>4.2</t>
  </si>
  <si>
    <t>Gültigkeit bei ausserordentlichen Ereignissen</t>
  </si>
  <si>
    <t>5.</t>
  </si>
  <si>
    <t>Vereinbarungsgegenstand</t>
  </si>
  <si>
    <t>5.1</t>
  </si>
  <si>
    <t>5.2</t>
  </si>
  <si>
    <t>Kostenberechnung</t>
  </si>
  <si>
    <t>5.3</t>
  </si>
  <si>
    <t>Teiler für Saldo</t>
  </si>
  <si>
    <t>6.</t>
  </si>
  <si>
    <t>Grundsatz der Zusammenarbeit</t>
  </si>
  <si>
    <t>7.</t>
  </si>
  <si>
    <t>Änderung der Grundsatzvereinbarung</t>
  </si>
  <si>
    <t>8.</t>
  </si>
  <si>
    <t>Anhänge</t>
  </si>
  <si>
    <t>Anhang 3</t>
  </si>
  <si>
    <r>
      <t>·</t>
    </r>
    <r>
      <rPr>
        <sz val="7"/>
        <rFont val="Times New Roman"/>
        <family val="1"/>
      </rPr>
      <t xml:space="preserve">         </t>
    </r>
    <r>
      <rPr>
        <sz val="11"/>
        <rFont val="Arial"/>
        <family val="2"/>
      </rPr>
      <t>Bundesgesetz über den Wald vom 4. Oktober 1991(Waldgesetz, WaG, SR 921.0), insbesondere Art. 19, 20, 35 und 37</t>
    </r>
  </si>
  <si>
    <r>
      <t>·</t>
    </r>
    <r>
      <rPr>
        <sz val="7"/>
        <rFont val="Times New Roman"/>
        <family val="1"/>
      </rPr>
      <t xml:space="preserve">         </t>
    </r>
    <r>
      <rPr>
        <sz val="11"/>
        <rFont val="Arial"/>
        <family val="2"/>
      </rPr>
      <t>Kantonales Waldgesetz vom 5. Mai 1997 (KWaG, BSG 921.11), insbesondere Art. 28ff.</t>
    </r>
  </si>
  <si>
    <r>
      <t>·</t>
    </r>
    <r>
      <rPr>
        <sz val="7"/>
        <rFont val="Times New Roman"/>
        <family val="1"/>
      </rPr>
      <t xml:space="preserve">         </t>
    </r>
    <r>
      <rPr>
        <sz val="11"/>
        <rFont val="Arial"/>
        <family val="2"/>
      </rPr>
      <t>jeweils gültige Kreisschreiben des Amtes für Wald, insbesondere KS 6.1/5 Minimale Schutzwaldpflege an Gerinneeinhängen und KS 6.1/7 Pflege im Objektschutzwald OSW.</t>
    </r>
  </si>
  <si>
    <r>
      <t>·</t>
    </r>
    <r>
      <rPr>
        <sz val="7"/>
        <rFont val="Times New Roman"/>
        <family val="1"/>
      </rPr>
      <t xml:space="preserve">         </t>
    </r>
    <r>
      <rPr>
        <sz val="11"/>
        <rFont val="Arial"/>
        <family val="2"/>
      </rPr>
      <t>Löst Pflegemassnahmen im Schutzwald aus (Pflege im OSW, Jungwaldpflege, Minimale Schutzwaldpflege an Gerinneeinhängen, Forstschutzmassnahmen, Rutschschutzwaldprojekte etc.).</t>
    </r>
  </si>
  <si>
    <r>
      <t>·</t>
    </r>
    <r>
      <rPr>
        <sz val="7"/>
        <rFont val="Times New Roman"/>
        <family val="1"/>
      </rPr>
      <t xml:space="preserve">         </t>
    </r>
    <r>
      <rPr>
        <sz val="11"/>
        <rFont val="Arial"/>
        <family val="2"/>
      </rPr>
      <t>Ist für die Projektleitung verantwortlich. Übernimmt diese Aufgabe selbst oder bestimmt eine kompetente Projektleitung und informiert diese über deren Rechte und Pflichten (siehe unten Ziff. 2.4).</t>
    </r>
  </si>
  <si>
    <r>
      <t>·</t>
    </r>
    <r>
      <rPr>
        <sz val="7"/>
        <rFont val="Times New Roman"/>
        <family val="1"/>
      </rPr>
      <t xml:space="preserve">         </t>
    </r>
    <r>
      <rPr>
        <sz val="11"/>
        <rFont val="Arial"/>
        <family val="2"/>
      </rPr>
      <t>Hat Anrecht auf kostenlose Beratung durch den Forstdienst gemäss KWaV Art. 58.</t>
    </r>
  </si>
  <si>
    <r>
      <t>·</t>
    </r>
    <r>
      <rPr>
        <sz val="7"/>
        <rFont val="Times New Roman"/>
        <family val="1"/>
      </rPr>
      <t xml:space="preserve">         </t>
    </r>
    <r>
      <rPr>
        <sz val="11"/>
        <rFont val="Arial"/>
        <family val="2"/>
      </rPr>
      <t>Ist verantwortlich für eine zielführende und fachgerechte Ausführung der Arbeiten.</t>
    </r>
  </si>
  <si>
    <r>
      <t>·</t>
    </r>
    <r>
      <rPr>
        <sz val="7"/>
        <rFont val="Times New Roman"/>
        <family val="1"/>
      </rPr>
      <t xml:space="preserve">         </t>
    </r>
    <r>
      <rPr>
        <sz val="11"/>
        <rFont val="Arial"/>
        <family val="2"/>
      </rPr>
      <t>Haftet gegenüber Dritten für Folgen von getroffenen Massnahmen oder Unterlassungen.</t>
    </r>
  </si>
  <si>
    <r>
      <t>·</t>
    </r>
    <r>
      <rPr>
        <sz val="7"/>
        <rFont val="Times New Roman"/>
        <family val="1"/>
      </rPr>
      <t xml:space="preserve">         </t>
    </r>
    <r>
      <rPr>
        <sz val="11"/>
        <rFont val="Arial"/>
        <family val="2"/>
      </rPr>
      <t>Ist verantwortlich für die korrekte und termingerechte Kostenabrechnung der ausgeführten Massnahmen gegenüber den Beteiligten (Sicherheitsverantwortliche Stelle, Waldeigentümer, Dritte).</t>
    </r>
  </si>
  <si>
    <r>
      <t>·</t>
    </r>
    <r>
      <rPr>
        <sz val="7"/>
        <rFont val="Times New Roman"/>
        <family val="1"/>
      </rPr>
      <t xml:space="preserve">         </t>
    </r>
    <r>
      <rPr>
        <sz val="11"/>
        <rFont val="Arial"/>
        <family val="2"/>
      </rPr>
      <t>Ist verantwortlich für die korrekte und termingerechte Subventionsabrechnung gegenüber den Subventionsbehörden (siehe unten Ziffer 3.2).</t>
    </r>
  </si>
  <si>
    <r>
      <t>·</t>
    </r>
    <r>
      <rPr>
        <sz val="7"/>
        <rFont val="Times New Roman"/>
        <family val="1"/>
      </rPr>
      <t xml:space="preserve">         </t>
    </r>
    <r>
      <rPr>
        <sz val="11"/>
        <rFont val="Arial"/>
        <family val="2"/>
      </rPr>
      <t>Erstellt alle massgebenden Unterlagen für die Planung, Durchführung und Abrechnung von nötigen Massnahmen.</t>
    </r>
  </si>
  <si>
    <r>
      <t>·</t>
    </r>
    <r>
      <rPr>
        <sz val="7"/>
        <rFont val="Times New Roman"/>
        <family val="1"/>
      </rPr>
      <t xml:space="preserve">         </t>
    </r>
    <r>
      <rPr>
        <sz val="11"/>
        <rFont val="Arial"/>
        <family val="2"/>
      </rPr>
      <t>Sorgt für vollständige Transparenz gegenüber allen Beteiligten (insbesondere Sicherheitsverantwortliche Stelle, Waldbesitzer, Subventionsbehörde).</t>
    </r>
  </si>
  <si>
    <r>
      <t>·</t>
    </r>
    <r>
      <rPr>
        <sz val="7"/>
        <rFont val="Times New Roman"/>
        <family val="1"/>
      </rPr>
      <t xml:space="preserve">         </t>
    </r>
    <r>
      <rPr>
        <sz val="11"/>
        <rFont val="Arial"/>
        <family val="2"/>
      </rPr>
      <t>Ist verantwortlich für die Sicherheit im Bereich des Schadenpotenzials.</t>
    </r>
  </si>
  <si>
    <r>
      <t>·</t>
    </r>
    <r>
      <rPr>
        <sz val="7"/>
        <rFont val="Times New Roman"/>
        <family val="1"/>
      </rPr>
      <t xml:space="preserve">         </t>
    </r>
    <r>
      <rPr>
        <sz val="11"/>
        <rFont val="Arial"/>
        <family val="2"/>
      </rPr>
      <t>Stellt bei Bedarf Grundlagen zur Beurteilung von Gefahren- und Schadenpotenzial bereit.</t>
    </r>
  </si>
  <si>
    <r>
      <t>·</t>
    </r>
    <r>
      <rPr>
        <sz val="7"/>
        <rFont val="Times New Roman"/>
        <family val="1"/>
      </rPr>
      <t xml:space="preserve">         </t>
    </r>
    <r>
      <rPr>
        <sz val="11"/>
        <rFont val="Arial"/>
        <family val="2"/>
      </rPr>
      <t>Überwacht Auftreten und Entwicklung der Gefährdung durch Naturereignisse und ordnet rechtzeitig die notwendigen baulichen, forstlichen oder anderen Massnahmen zur Gefahrenabwehr an (nach Rücksprache mit Waldeigentümer).</t>
    </r>
  </si>
  <si>
    <r>
      <t>·</t>
    </r>
    <r>
      <rPr>
        <sz val="7"/>
        <rFont val="Times New Roman"/>
        <family val="1"/>
      </rPr>
      <t xml:space="preserve">         </t>
    </r>
    <r>
      <rPr>
        <sz val="11"/>
        <rFont val="Arial"/>
        <family val="2"/>
      </rPr>
      <t>Hat Anrecht auf kostenlose Beratung durch den Forstdienst gemäss Art. 58 KWaV.</t>
    </r>
  </si>
  <si>
    <r>
      <t>·</t>
    </r>
    <r>
      <rPr>
        <sz val="7"/>
        <rFont val="Times New Roman"/>
        <family val="1"/>
      </rPr>
      <t xml:space="preserve">         </t>
    </r>
    <r>
      <rPr>
        <sz val="11"/>
        <rFont val="Arial"/>
        <family val="2"/>
      </rPr>
      <t>Stimmt den Zielen der Schutzwaldpflegeeingriffe zu. Kann bei der Festlegung von Art und Ort der auszuführenden Massnahmen mitwirken und bei der Anzeichnung teilnehmen.</t>
    </r>
  </si>
  <si>
    <r>
      <t>·</t>
    </r>
    <r>
      <rPr>
        <sz val="7"/>
        <rFont val="Times New Roman"/>
        <family val="1"/>
      </rPr>
      <t xml:space="preserve">         </t>
    </r>
    <r>
      <rPr>
        <sz val="11"/>
        <rFont val="Arial"/>
        <family val="2"/>
      </rPr>
      <t>Hat das Recht, alle massgebenden Unterlagen für die Planung, Durchführung und Abrechnung von nötigen Massnahmen einzusehen.</t>
    </r>
  </si>
  <si>
    <r>
      <t>·</t>
    </r>
    <r>
      <rPr>
        <sz val="7"/>
        <rFont val="Times New Roman"/>
        <family val="1"/>
      </rPr>
      <t xml:space="preserve">         </t>
    </r>
    <r>
      <rPr>
        <sz val="11"/>
        <rFont val="Arial"/>
        <family val="2"/>
      </rPr>
      <t>Duldet alle Eingriffe und Massnahmen, die nötig sind, um die Schutzfunktion des Waldes nachhaltig sicherzustellen.</t>
    </r>
  </si>
  <si>
    <r>
      <t>·</t>
    </r>
    <r>
      <rPr>
        <sz val="7"/>
        <rFont val="Times New Roman"/>
        <family val="1"/>
      </rPr>
      <t xml:space="preserve">         </t>
    </r>
    <r>
      <rPr>
        <sz val="11"/>
        <rFont val="Arial"/>
        <family val="2"/>
      </rPr>
      <t>Kann beim Festlegen von Zielen sowie Art und Ort der auszuführenden Massnahmen mitwirken und bei der Anzeichnung teilnehmen.</t>
    </r>
  </si>
  <si>
    <r>
      <t>·</t>
    </r>
    <r>
      <rPr>
        <sz val="7"/>
        <rFont val="Times New Roman"/>
        <family val="1"/>
      </rPr>
      <t xml:space="preserve">         </t>
    </r>
    <r>
      <rPr>
        <sz val="11"/>
        <rFont val="Arial"/>
        <family val="2"/>
      </rPr>
      <t>Darf Holzschläge in Schutzwäldern (OSW), wenn sie vom Forstdienst (WA) vorgängig genehmigt worden sind (Holzschlagbewilligung). Die Schutzwirkung darf durch den Eingriff nicht beeinträchtigt werden.</t>
    </r>
  </si>
  <si>
    <r>
      <t>·</t>
    </r>
    <r>
      <rPr>
        <sz val="7"/>
        <rFont val="Times New Roman"/>
        <family val="1"/>
      </rPr>
      <t xml:space="preserve">         </t>
    </r>
    <r>
      <rPr>
        <sz val="11"/>
        <rFont val="Arial"/>
        <family val="2"/>
      </rPr>
      <t>Hält die besonderen Bewirtschaftungsvorschriften im Schutzwald (NaiS) ein.</t>
    </r>
  </si>
  <si>
    <r>
      <t>·</t>
    </r>
    <r>
      <rPr>
        <sz val="7"/>
        <rFont val="Times New Roman"/>
        <family val="1"/>
      </rPr>
      <t xml:space="preserve">         </t>
    </r>
    <r>
      <rPr>
        <sz val="11"/>
        <rFont val="Arial"/>
        <family val="2"/>
      </rPr>
      <t>Legt im Einvernehmen mit dem kantonalen Forstdienst die zielführenden und fachgerechten Massnahmen fest; informiert bei Bedarf die Beteiligten (SiV) über die bevorstehende Anzeichnung.</t>
    </r>
  </si>
  <si>
    <r>
      <t>·</t>
    </r>
    <r>
      <rPr>
        <sz val="7"/>
        <rFont val="Times New Roman"/>
        <family val="1"/>
      </rPr>
      <t xml:space="preserve">         </t>
    </r>
    <r>
      <rPr>
        <sz val="11"/>
        <rFont val="Arial"/>
        <family val="2"/>
      </rPr>
      <t>Ist verantwortlich für das zielführende und fachgerechte Ausführen der festgelegten Massnahmen; hält dabei insbesondere die einschlägigen gesetzlichen Bestimmungen, die NaiS-Anforderungsprofile, die kantonalen Vorgaben (KAWA) und die Vorschriften zur Arbeitssicherheit ein.</t>
    </r>
  </si>
  <si>
    <r>
      <t>·</t>
    </r>
    <r>
      <rPr>
        <sz val="7"/>
        <rFont val="Times New Roman"/>
        <family val="1"/>
      </rPr>
      <t xml:space="preserve">         </t>
    </r>
    <r>
      <rPr>
        <sz val="11"/>
        <rFont val="Arial"/>
        <family val="2"/>
      </rPr>
      <t>Erstellt den Kostenvoranschlag für die auszuführenden Massnahmen und die Kostenabrechnung der ausgeführten Massnahmen zu Handen der Beteiligten (SiV).</t>
    </r>
  </si>
  <si>
    <r>
      <t>·</t>
    </r>
    <r>
      <rPr>
        <sz val="7"/>
        <rFont val="Times New Roman"/>
        <family val="1"/>
      </rPr>
      <t xml:space="preserve">         </t>
    </r>
    <r>
      <rPr>
        <sz val="11"/>
        <rFont val="Arial"/>
        <family val="2"/>
      </rPr>
      <t>Erstellt fristgerecht die Subventionsabrechnung zu Handen der Trägerschaft (siehe unten Ziffer 3.2).</t>
    </r>
  </si>
  <si>
    <r>
      <t>·</t>
    </r>
    <r>
      <rPr>
        <sz val="7"/>
        <rFont val="Times New Roman"/>
        <family val="1"/>
      </rPr>
      <t xml:space="preserve">         </t>
    </r>
    <r>
      <rPr>
        <sz val="11"/>
        <rFont val="Arial"/>
        <family val="2"/>
      </rPr>
      <t>Kann im Rahmen der Abmachungen und des Kostenvoranschlages die Arbeiten an geeignete Forstunternehmer oder -betriebe vergeben.</t>
    </r>
  </si>
  <si>
    <r>
      <t>·</t>
    </r>
    <r>
      <rPr>
        <sz val="7"/>
        <rFont val="Times New Roman"/>
        <family val="1"/>
      </rPr>
      <t xml:space="preserve">         </t>
    </r>
    <r>
      <rPr>
        <sz val="11"/>
        <rFont val="Arial"/>
        <family val="2"/>
      </rPr>
      <t>Informiert alle Beteiligten (Trägerschaft, sicherheitsverantwortliche Stelle, Waldbesitzer) und nötigenfalls den kantonalen Forstdienst über wesentlichen Vorkommnisse und Entscheide.</t>
    </r>
  </si>
  <si>
    <t>Um die Bruttokosten abschätzen zu können, basiert diese auf Unternehmerofferten oder allenfalls Erfahrungszahlen.</t>
  </si>
  <si>
    <t>Die Berechnung der Beiträge beruht auf den jeweils gültigen Pauschalansätzen des KAWA (Kreisschreiben).</t>
  </si>
  <si>
    <t>Es gilt zwei Abrechnungen zu unterscheiden:</t>
  </si>
  <si>
    <r>
      <t>a)</t>
    </r>
    <r>
      <rPr>
        <sz val="7"/>
        <rFont val="Times New Roman"/>
        <family val="1"/>
      </rPr>
      <t xml:space="preserve">    </t>
    </r>
    <r>
      <rPr>
        <sz val="11"/>
        <rFont val="Arial"/>
        <family val="2"/>
      </rPr>
      <t>Abrechnung der Beiträge gegenüber den Subventionsbehörden</t>
    </r>
  </si>
  <si>
    <r>
      <t>b)</t>
    </r>
    <r>
      <rPr>
        <sz val="7"/>
        <rFont val="Times New Roman"/>
        <family val="1"/>
      </rPr>
      <t xml:space="preserve">    </t>
    </r>
    <r>
      <rPr>
        <sz val="11"/>
        <rFont val="Arial"/>
        <family val="2"/>
      </rPr>
      <t>Abrechnung unter den Vertragsparteien (Kostenpauschale)</t>
    </r>
  </si>
  <si>
    <r>
      <t>·</t>
    </r>
    <r>
      <rPr>
        <sz val="7"/>
        <rFont val="Times New Roman"/>
        <family val="1"/>
      </rPr>
      <t xml:space="preserve">         </t>
    </r>
    <r>
      <rPr>
        <sz val="11"/>
        <rFont val="Arial"/>
        <family val="2"/>
      </rPr>
      <t>Die Subventionsabrechnung a) wird nach Abschluss der Arbeiten durch die Trägerschaft bei den Subventionsbehörden eingereicht.</t>
    </r>
  </si>
  <si>
    <r>
      <t>·</t>
    </r>
    <r>
      <rPr>
        <sz val="7"/>
        <rFont val="Times New Roman"/>
        <family val="1"/>
      </rPr>
      <t xml:space="preserve">         </t>
    </r>
    <r>
      <rPr>
        <sz val="11"/>
        <rFont val="Arial"/>
        <family val="2"/>
      </rPr>
      <t>Die Kostenpauschale (b) wird der SiV nach Abschluss der Arbeiten in Rechnung gestellt.</t>
    </r>
  </si>
  <si>
    <t>Die Verantwortung für die beiden korrekten und termingerechten Abrechnungen a) und b) liegt bei der Trägerschaft.</t>
  </si>
  <si>
    <t>[1] NaiS = Nachhaltigkeit und Erfolgskontrolle im Schutzwald, BUWAL, 2005</t>
  </si>
  <si>
    <t>1.</t>
  </si>
  <si>
    <t>Rechte und Pflichten</t>
  </si>
  <si>
    <t>Trägerschaft (…)</t>
  </si>
  <si>
    <t>Sicherheitsverantwortliche Stelle (XY)</t>
  </si>
  <si>
    <r>
      <t>·</t>
    </r>
    <r>
      <rPr>
        <sz val="7"/>
        <rFont val="Times New Roman"/>
        <family val="1"/>
      </rPr>
      <t xml:space="preserve">         </t>
    </r>
    <r>
      <rPr>
        <sz val="11"/>
        <rFont val="Arial"/>
        <family val="2"/>
      </rPr>
      <t>Hält die Weisungen und Auflagen des kantonalen Forstdienstes ein. Dazu gehören insbesondere auch die einschlägigen gesetzlichen Bestimmungen, die NaiS-Kriterien[1], die kantonalen Richtlinien und die Vorschriften zur Arbeitssicherheit.</t>
    </r>
  </si>
  <si>
    <t>2.3</t>
  </si>
  <si>
    <t>Waldeigentümer (…)</t>
  </si>
  <si>
    <t>2.4</t>
  </si>
  <si>
    <t>Projektleitung (…)</t>
  </si>
  <si>
    <t>3.1</t>
  </si>
  <si>
    <t>Kosten und Beiträge</t>
  </si>
  <si>
    <t>Grundlagen</t>
  </si>
  <si>
    <t>3.2</t>
  </si>
  <si>
    <t xml:space="preserve">      Massnahmen</t>
  </si>
  <si>
    <t xml:space="preserve">      Total</t>
  </si>
  <si>
    <t>Erträge CHF</t>
  </si>
  <si>
    <t>Die Massnahme wird ausgeführt.
Der Beitrag SiV wird gemäss Finanzierung (s.o.) vereinbart.</t>
  </si>
  <si>
    <t>GIS-ID</t>
  </si>
  <si>
    <t>Tfm</t>
  </si>
  <si>
    <t>Zwischentotal / Restkosten (exkl. MWSt.)</t>
  </si>
  <si>
    <t>Anzeichnungsprotokoll</t>
  </si>
  <si>
    <t>Anzeichnungsprotokoll OSW-Projekt</t>
  </si>
  <si>
    <r>
      <t>Pauschale:</t>
    </r>
    <r>
      <rPr>
        <sz val="11"/>
        <color indexed="10"/>
        <rFont val="Arial"/>
        <family val="2"/>
      </rPr>
      <t>*</t>
    </r>
  </si>
  <si>
    <t>OSW Hangmuren und Rutschung</t>
  </si>
  <si>
    <t>OSW Lawinen und Steinschlag</t>
  </si>
  <si>
    <t>Normalnutzung</t>
  </si>
  <si>
    <r>
      <t>Schutzwald:</t>
    </r>
    <r>
      <rPr>
        <sz val="11"/>
        <color indexed="10"/>
        <rFont val="Arial"/>
        <family val="2"/>
      </rPr>
      <t>*</t>
    </r>
  </si>
  <si>
    <t>A0 L/S</t>
  </si>
  <si>
    <t>A10 L/S</t>
  </si>
  <si>
    <t>A20 L/S</t>
  </si>
  <si>
    <t>B0 L/S</t>
  </si>
  <si>
    <t>B10 L/S</t>
  </si>
  <si>
    <t>B20 L/S</t>
  </si>
  <si>
    <t>C0 L/S</t>
  </si>
  <si>
    <t>C10 L/S</t>
  </si>
  <si>
    <t>C20 L/S</t>
  </si>
  <si>
    <t>D0 L/S</t>
  </si>
  <si>
    <t>D10 L/S</t>
  </si>
  <si>
    <t>D20 L/S</t>
  </si>
  <si>
    <t>A H/R</t>
  </si>
  <si>
    <t>B1 H/R</t>
  </si>
  <si>
    <t>B2 H/R</t>
  </si>
  <si>
    <t>E H/R</t>
  </si>
  <si>
    <t>F H/R</t>
  </si>
  <si>
    <t>OSW Rutschung und Hangmuren</t>
  </si>
  <si>
    <t>Grundpauschale B1</t>
  </si>
  <si>
    <t>Grundpauschale A0</t>
  </si>
  <si>
    <t>Grundpauschale A10</t>
  </si>
  <si>
    <t>Grundpauschale A20</t>
  </si>
  <si>
    <t>Grundpauschale B0</t>
  </si>
  <si>
    <t>Grundpauschale B10</t>
  </si>
  <si>
    <t>Grundpauschale B20</t>
  </si>
  <si>
    <t>Grundpauschale C0</t>
  </si>
  <si>
    <t>Grundpauschale C10</t>
  </si>
  <si>
    <t>Grundpauschale C20</t>
  </si>
  <si>
    <t>Grundpauschale D0</t>
  </si>
  <si>
    <t>Grundpauschale D10</t>
  </si>
  <si>
    <t>Grundpauschale D20</t>
  </si>
  <si>
    <t>Grundpauschale B2</t>
  </si>
  <si>
    <t>Baumart:</t>
  </si>
  <si>
    <t>Beitragsberechtigte Fläche für NFA-PV</t>
  </si>
  <si>
    <t>Kantonsbeitrag</t>
  </si>
  <si>
    <r>
      <t xml:space="preserve">Beilagen für AFR:
</t>
    </r>
    <r>
      <rPr>
        <sz val="9"/>
        <rFont val="Arial"/>
        <family val="2"/>
      </rPr>
      <t>- Einzahlungsschein
- NaiS-Formular</t>
    </r>
    <r>
      <rPr>
        <b/>
        <sz val="9"/>
        <rFont val="Arial"/>
        <family val="2"/>
      </rPr>
      <t xml:space="preserve"> </t>
    </r>
  </si>
  <si>
    <t xml:space="preserve"> - Beilage zum Einfachen Projekt
 - im Hangmurenschutzwald: Beilage 6</t>
  </si>
  <si>
    <t>Fall A</t>
  </si>
  <si>
    <t>Hangneigung</t>
  </si>
  <si>
    <r>
      <t xml:space="preserve">G1: Fällen / Entzerren, Entasten </t>
    </r>
    <r>
      <rPr>
        <i/>
        <sz val="10"/>
        <rFont val="Arial"/>
        <family val="2"/>
      </rPr>
      <t>(ohne Vollernter + Seilkran)</t>
    </r>
  </si>
  <si>
    <r>
      <t xml:space="preserve">G2: Seilzug </t>
    </r>
    <r>
      <rPr>
        <i/>
        <sz val="10"/>
        <rFont val="Arial"/>
        <family val="2"/>
      </rPr>
      <t>(Anteil der mit Seilzug zu fällenden Bäume, Stocksicherung)</t>
    </r>
  </si>
  <si>
    <r>
      <t>G3: Fichten auf Wytweiden</t>
    </r>
    <r>
      <rPr>
        <i/>
        <sz val="10"/>
        <rFont val="Arial"/>
        <family val="2"/>
      </rPr>
      <t xml:space="preserve"> (sofern stark grobastig und langkronig)</t>
    </r>
  </si>
  <si>
    <r>
      <t xml:space="preserve">G4: Entrinden </t>
    </r>
    <r>
      <rPr>
        <i/>
        <sz val="10"/>
        <rFont val="Arial"/>
        <family val="2"/>
      </rPr>
      <t>(Hand oder Maschinenentrindung im Bestand) 1</t>
    </r>
    <r>
      <rPr>
        <i/>
        <vertAlign val="superscript"/>
        <sz val="10"/>
        <rFont val="Arial"/>
        <family val="2"/>
      </rPr>
      <t>)</t>
    </r>
    <r>
      <rPr>
        <i/>
        <sz val="10"/>
        <rFont val="Arial"/>
        <family val="2"/>
      </rPr>
      <t xml:space="preserve">
(Werden Weisstannen mit Borkenkäfer im Verpuppungsstadium im Splint entrindet, können die Ansätze für das Entrinden im Jahr 2020 um max. 20% erhöht werden.)</t>
    </r>
  </si>
  <si>
    <t>G4: Entrinden mit Entrindungszug</t>
  </si>
  <si>
    <t>Zwischentotal</t>
  </si>
  <si>
    <t>G5: Wegzeit</t>
  </si>
  <si>
    <t>G6a/G6c: Abstocken/Entzerren/Stocksicherung zu Vollernter/Seilkran</t>
  </si>
  <si>
    <r>
      <t xml:space="preserve">G6b/G6d: Aufarbeitung im Bestand mit Vollernter/bei Seilkran mit Prozesser auf Lagerplatz
</t>
    </r>
    <r>
      <rPr>
        <i/>
        <sz val="10"/>
        <rFont val="Arial"/>
        <family val="2"/>
      </rPr>
      <t>(ohne Zuschläge wie Bodenhindernisse, Seilzug, Kronenlänge etc.)</t>
    </r>
  </si>
  <si>
    <r>
      <t>Entschädigung nach Aufwand</t>
    </r>
    <r>
      <rPr>
        <i/>
        <sz val="10"/>
        <rFont val="Arial"/>
        <family val="2"/>
      </rPr>
      <t xml:space="preserve"> (Belege beilegen) </t>
    </r>
    <r>
      <rPr>
        <sz val="10"/>
        <rFont val="Arial"/>
        <family val="2"/>
      </rPr>
      <t xml:space="preserve">              Bemerkung:</t>
    </r>
  </si>
  <si>
    <t>Total Grundmassnahmen</t>
  </si>
  <si>
    <r>
      <t xml:space="preserve">B1:Grundwert Traktor </t>
    </r>
    <r>
      <rPr>
        <i/>
        <sz val="10"/>
        <rFont val="Arial"/>
        <family val="2"/>
      </rPr>
      <t>(Lastenbilden, Ablängen, Lagern)</t>
    </r>
  </si>
  <si>
    <r>
      <t xml:space="preserve">B2/B6a: Zuzugdistanz </t>
    </r>
    <r>
      <rPr>
        <i/>
        <sz val="10"/>
        <rFont val="Arial"/>
        <family val="2"/>
      </rPr>
      <t>(nur für Bodenseilzug in Hanglagen &gt;30% oder in nicht befahrbarem Gelände)</t>
    </r>
  </si>
  <si>
    <r>
      <t>B3: Rückedistanz</t>
    </r>
    <r>
      <rPr>
        <i/>
        <sz val="10"/>
        <rFont val="Arial"/>
        <family val="2"/>
      </rPr>
      <t xml:space="preserve"> (auf Rückegasse / Maschinenweg bis zum nächsten Lagerplatz)</t>
    </r>
  </si>
  <si>
    <t>B5: Transport Weisstanne aus dem Wald (&gt;500m)</t>
  </si>
  <si>
    <t>B5: Hacken Fichte/Weisstanne</t>
  </si>
  <si>
    <r>
      <t xml:space="preserve">B6a: Vorliefern zu Forwarder </t>
    </r>
    <r>
      <rPr>
        <i/>
        <sz val="10"/>
        <rFont val="Arial"/>
        <family val="2"/>
      </rPr>
      <t>(Zuzugdistanz 10-30m)</t>
    </r>
  </si>
  <si>
    <r>
      <t>B6b: Rücken mit Forwarder</t>
    </r>
    <r>
      <rPr>
        <i/>
        <sz val="10"/>
        <rFont val="Arial"/>
        <family val="2"/>
      </rPr>
      <t xml:space="preserve"> (mittlere Rückedistanz)</t>
    </r>
  </si>
  <si>
    <r>
      <t>B7: Seilkran</t>
    </r>
    <r>
      <rPr>
        <sz val="10"/>
        <rFont val="Arial"/>
        <family val="2"/>
      </rPr>
      <t>: Richtwert/Grundwert</t>
    </r>
  </si>
  <si>
    <t>B7: Seilkran: Holzmengezuschlag bzw -abzug</t>
  </si>
  <si>
    <t>B7: Seilkran: Linienlänge</t>
  </si>
  <si>
    <t>B7: Seilkran: Abladeplatz</t>
  </si>
  <si>
    <t>B7 Seilkran: Stützen, wenn mehr als 2 Stück (pro Linie)</t>
  </si>
  <si>
    <r>
      <t xml:space="preserve">B7: Seilkran: Besondere Erschwernisse </t>
    </r>
    <r>
      <rPr>
        <i/>
        <sz val="10"/>
        <rFont val="Arial"/>
        <family val="2"/>
      </rPr>
      <t>(Blöcke, Gräben, Verkehrswege, Häuser oder Seilbahn mit 3-4 Seil-System)</t>
    </r>
  </si>
  <si>
    <r>
      <t>B7: Seilkran: Totmannanker Bagger und Maschinist</t>
    </r>
    <r>
      <rPr>
        <i/>
        <sz val="10"/>
        <rFont val="Arial"/>
        <family val="2"/>
      </rPr>
      <t xml:space="preserve"> 
(nach Aufwand mit Originalrechnung, max Fr. 8.- pro m³)</t>
    </r>
  </si>
  <si>
    <r>
      <t xml:space="preserve">B7: Seilkran: Windentransport mit Helikopter 
</t>
    </r>
    <r>
      <rPr>
        <i/>
        <sz val="10"/>
        <rFont val="Arial"/>
        <family val="2"/>
      </rPr>
      <t>(nach Aufwand und mit Originalrechnung, max. Fr. 1000.- pro Seilschlag)</t>
    </r>
  </si>
  <si>
    <r>
      <t>Bringung nach Aufwand</t>
    </r>
    <r>
      <rPr>
        <i/>
        <sz val="10"/>
        <rFont val="Arial"/>
        <family val="2"/>
      </rPr>
      <t xml:space="preserve"> (Belege beilegen)     </t>
    </r>
    <r>
      <rPr>
        <sz val="10"/>
        <rFont val="Arial"/>
        <family val="2"/>
      </rPr>
      <t xml:space="preserve">          Bemerkung:</t>
    </r>
  </si>
  <si>
    <r>
      <t xml:space="preserve">B4: Schadholzkleinmengenzuschlag &lt;20m³  </t>
    </r>
    <r>
      <rPr>
        <i/>
        <sz val="10"/>
        <rFont val="Arial"/>
        <family val="2"/>
      </rPr>
      <t>(nur bei Traktor)</t>
    </r>
  </si>
  <si>
    <t>Total Bringung</t>
  </si>
  <si>
    <t>Zusammenzug</t>
  </si>
  <si>
    <t>Entschädigung nach Aufwand (Belege beilegen)</t>
  </si>
  <si>
    <t>Grundmassnahmen nach Aufwand:</t>
  </si>
  <si>
    <t>Bringung nach Aufwand Total:</t>
  </si>
  <si>
    <t>Holzerlös gemäss Belege Total:</t>
  </si>
  <si>
    <t>Pauschalansätze Holzerlöse</t>
  </si>
  <si>
    <t>G 1: Fällen/Entzerren</t>
  </si>
  <si>
    <t>B 1: Grundwert Traktor</t>
  </si>
  <si>
    <t>H 1-3: Holzerlöse</t>
  </si>
  <si>
    <t>Holzart und verblaut</t>
  </si>
  <si>
    <t>Fall C</t>
  </si>
  <si>
    <t>G 2: Seilzug</t>
  </si>
  <si>
    <t>B 2: Zuzugdistanz Bodenseilzug</t>
  </si>
  <si>
    <t>G 3: Fichten auf Wytweiden</t>
  </si>
  <si>
    <t>B 3: Rückedistanz Bodenzug Traktor</t>
  </si>
  <si>
    <t>Bodenhindernisse</t>
  </si>
  <si>
    <t>Rückedistanz</t>
  </si>
  <si>
    <t>gering</t>
  </si>
  <si>
    <t>mittel</t>
  </si>
  <si>
    <t>gross</t>
  </si>
  <si>
    <t>G 4: Entrinden manuell</t>
  </si>
  <si>
    <t>B 4: Schadholzmenge</t>
  </si>
  <si>
    <t>B 5: Transport Weisstanne aus dem Wald oder Hacken / Fichte nur Hacken</t>
  </si>
  <si>
    <t>G 4: Entrinden mit Entrindungszug auf Strasse</t>
  </si>
  <si>
    <t>Kronenlänge</t>
  </si>
  <si>
    <t>&lt; 50%</t>
  </si>
  <si>
    <t>50 - 75%</t>
  </si>
  <si>
    <t>B 6a: Vorliefern für Forwarder 10-30m Zuzugdistanz</t>
  </si>
  <si>
    <t>&gt;75%</t>
  </si>
  <si>
    <t>G 5: Wegzeit</t>
  </si>
  <si>
    <t>Wytweiden</t>
  </si>
  <si>
    <t>G 6a: Abstocken/Entzerren/Stocksicherung Vollernter</t>
  </si>
  <si>
    <t>B 6b: Rücken mit Forwarder</t>
  </si>
  <si>
    <t>Ordentlicher Forstschutz (OF)</t>
  </si>
  <si>
    <t>OF</t>
  </si>
  <si>
    <t>G 6b: Aufarbeitung mit Vollernter</t>
  </si>
  <si>
    <t>übriges Gebiet</t>
  </si>
  <si>
    <t>üG</t>
  </si>
  <si>
    <t>B 7: Seilkran</t>
  </si>
  <si>
    <t>Mittellang- und Langholz</t>
  </si>
  <si>
    <t>Trämel</t>
  </si>
  <si>
    <t>Grundwert</t>
  </si>
  <si>
    <t>G 6c: Abstocken/Entzerren/Stocksicherung Seilkran</t>
  </si>
  <si>
    <t>unter 100m³</t>
  </si>
  <si>
    <t>100-200m³</t>
  </si>
  <si>
    <t>Bodenseilzug</t>
  </si>
  <si>
    <t>200-400m³</t>
  </si>
  <si>
    <t>&lt; 20m</t>
  </si>
  <si>
    <t>&gt;400m³</t>
  </si>
  <si>
    <t>20 - 40m</t>
  </si>
  <si>
    <t>&lt;500m'</t>
  </si>
  <si>
    <t>&gt;500m'</t>
  </si>
  <si>
    <t>Ablad im Wald</t>
  </si>
  <si>
    <t>Ablad ausser Wald</t>
  </si>
  <si>
    <t>G 6d Aufarbeitung mit Seilkran inkl. Sortieren</t>
  </si>
  <si>
    <t>&gt;2 Stützen</t>
  </si>
  <si>
    <t>Erschwernisse</t>
  </si>
  <si>
    <t>&lt; 100m</t>
  </si>
  <si>
    <t>Flächenpauschale Fall E Bringungspauschale Bodenzug</t>
  </si>
  <si>
    <t>101 - 300m</t>
  </si>
  <si>
    <t>Fr. / ha</t>
  </si>
  <si>
    <t>301 - 500m</t>
  </si>
  <si>
    <t>501 - 700m</t>
  </si>
  <si>
    <t>701 - 900m</t>
  </si>
  <si>
    <t>Seilbringung Fr. /m'</t>
  </si>
  <si>
    <t>&gt; 900m</t>
  </si>
  <si>
    <t>G 7: Räumung Jungwald / Are</t>
  </si>
  <si>
    <t>Bodenzug Fr./ha</t>
  </si>
  <si>
    <t>Reistdistanz</t>
  </si>
  <si>
    <t>&lt; 40m</t>
  </si>
  <si>
    <t>AE 1: Kurzschneiden / Zerkleinern aus Gerinnepauschale</t>
  </si>
  <si>
    <t>zerkleinern BHD 12 - 24cm</t>
  </si>
  <si>
    <t>Forwarder</t>
  </si>
  <si>
    <t>zerkleinern BHD &gt;25cm</t>
  </si>
  <si>
    <t>Flächenpauschale Fall E Grundpauschale</t>
  </si>
  <si>
    <t>Seilkrankorrekturfaktor</t>
  </si>
  <si>
    <t>einfach &lt; 10m</t>
  </si>
  <si>
    <t>mittel 11 - 20m</t>
  </si>
  <si>
    <t>schwer &gt; 20m</t>
  </si>
  <si>
    <t>Dimension Schadholz</t>
  </si>
  <si>
    <t>&lt;30cm</t>
  </si>
  <si>
    <t>30-35.9</t>
  </si>
  <si>
    <t>36-39.9</t>
  </si>
  <si>
    <t>40-49.9</t>
  </si>
  <si>
    <t>&gt;50</t>
  </si>
  <si>
    <t>Seilkranfahrstrecke</t>
  </si>
  <si>
    <t>&lt;0.5</t>
  </si>
  <si>
    <t>0.5-0.75</t>
  </si>
  <si>
    <t>0.76-1.00</t>
  </si>
  <si>
    <t>1.01-2.0</t>
  </si>
  <si>
    <t>&gt;2.01</t>
  </si>
  <si>
    <t>&lt; 125m</t>
  </si>
  <si>
    <t>&lt;0.2</t>
  </si>
  <si>
    <t>0.2-0.27</t>
  </si>
  <si>
    <t>0.28-0.35</t>
  </si>
  <si>
    <t>0.36-.55</t>
  </si>
  <si>
    <t>&gt;0.56</t>
  </si>
  <si>
    <t>126 - 175m</t>
  </si>
  <si>
    <t>176 - 225m</t>
  </si>
  <si>
    <t>226 - 275m</t>
  </si>
  <si>
    <t>276 - 325m</t>
  </si>
  <si>
    <t>326 - 375m</t>
  </si>
  <si>
    <t>&gt; 376m</t>
  </si>
  <si>
    <t>mittlerer Stückinhalt</t>
  </si>
  <si>
    <t>0.20m³</t>
  </si>
  <si>
    <t>0.30m³</t>
  </si>
  <si>
    <t>0.40m³</t>
  </si>
  <si>
    <t>&gt; 0.50m³</t>
  </si>
  <si>
    <t>Helikopter</t>
  </si>
  <si>
    <t>Lama</t>
  </si>
  <si>
    <t>B3</t>
  </si>
  <si>
    <t>K-Max</t>
  </si>
  <si>
    <t>Superpuma</t>
  </si>
  <si>
    <t>Holzerlöse</t>
  </si>
  <si>
    <t>Fichte nicht verblaut (&lt;20% Tanne)</t>
  </si>
  <si>
    <t>Wytweidbäume</t>
  </si>
  <si>
    <t>Fichte nicht verblaut (20-50% Tanne)</t>
  </si>
  <si>
    <t>Fichte nicht verblaut (51-80% Tanne)</t>
  </si>
  <si>
    <t>Fichte nicht verblaut (&gt;80% Tanne)</t>
  </si>
  <si>
    <t>Fichte verblaut (Käferholz)</t>
  </si>
  <si>
    <t>Tanne (Käferholz)</t>
  </si>
  <si>
    <t>Laubholz</t>
  </si>
  <si>
    <t>Holzmenge</t>
  </si>
  <si>
    <t>&lt; 100m³</t>
  </si>
  <si>
    <t>100 - 200m³</t>
  </si>
  <si>
    <t>200 - 400m³</t>
  </si>
  <si>
    <t>&gt; 400m³</t>
  </si>
  <si>
    <t>Linienlänge</t>
  </si>
  <si>
    <t>&lt; 500m</t>
  </si>
  <si>
    <t>&gt; 500m</t>
  </si>
  <si>
    <t>Abladeplatz</t>
  </si>
  <si>
    <t>im Wald</t>
  </si>
  <si>
    <t>ausserhalb Wald</t>
  </si>
  <si>
    <t>Anzahl Totmannanker und Stützen</t>
  </si>
  <si>
    <t>1 Stück</t>
  </si>
  <si>
    <t>2 Stück</t>
  </si>
  <si>
    <t>3 Stück</t>
  </si>
  <si>
    <t>4 Stück</t>
  </si>
  <si>
    <t>5 Stück</t>
  </si>
  <si>
    <t>6 Stück</t>
  </si>
  <si>
    <t>7 Stück</t>
  </si>
  <si>
    <t>Besondere Erschwernisse</t>
  </si>
  <si>
    <t>keine</t>
  </si>
  <si>
    <t>Blöcke, Gräben</t>
  </si>
  <si>
    <t>Verkehrswege</t>
  </si>
  <si>
    <t>Häuser</t>
  </si>
  <si>
    <t>3 Seil-System</t>
  </si>
  <si>
    <t>Kleinmengezuschlag</t>
  </si>
  <si>
    <t>&gt; 20 m³</t>
  </si>
  <si>
    <t>11 - 20 m³</t>
  </si>
  <si>
    <t>5 - 10 m³</t>
  </si>
  <si>
    <t>&lt; 5 m³</t>
  </si>
  <si>
    <t>Fall B</t>
  </si>
  <si>
    <t>Fall B Kurzschneiden</t>
  </si>
  <si>
    <t>Fall D=keine Holzmenge nötig!</t>
  </si>
  <si>
    <t>Fall E=keine Holzmenge nötig!</t>
  </si>
  <si>
    <t>&lt; 50m von Strasse</t>
  </si>
  <si>
    <t>50-100m von Strasse</t>
  </si>
  <si>
    <t>100-300m von Strasse</t>
  </si>
  <si>
    <t>&gt;300m von Strasse</t>
  </si>
  <si>
    <t>&lt; 30% Gefälle</t>
  </si>
  <si>
    <t>30 - 60% Gefälle</t>
  </si>
  <si>
    <t>&gt; 60% Gefälle</t>
  </si>
  <si>
    <t>Bodenzug</t>
  </si>
  <si>
    <t>Seilkran</t>
  </si>
  <si>
    <t>Seilkran + Bodenzug</t>
  </si>
  <si>
    <t>Pauschal</t>
  </si>
  <si>
    <t>nach Aufwand</t>
  </si>
  <si>
    <t>OSW-E-Pauschale Rutschung und Hangmuren</t>
  </si>
  <si>
    <t>Total Grundmassnahmen inkl. umgelagerte Kosten 0%</t>
  </si>
  <si>
    <t>Total Bringung inkl. umgelagerte Kosten 0%</t>
  </si>
  <si>
    <t>Pauschalansatz pro m³</t>
  </si>
  <si>
    <t>Holzmenge E-Pauschale (ohne Rinde) in m³</t>
  </si>
  <si>
    <t>Anzahl Bäume E-Pauschale (Stück)</t>
  </si>
  <si>
    <t>Total G + B inkl. umgelagerte Kosten 0%</t>
  </si>
  <si>
    <t>Total Nettokosten in Fr.</t>
  </si>
  <si>
    <t>Pauschalansatz pro Baum = E-Pauschale</t>
  </si>
  <si>
    <t>Einfaches Projekt: Pflege im Objektschutzwald</t>
  </si>
  <si>
    <t>L/S</t>
  </si>
  <si>
    <t>Dreibeinböcke</t>
  </si>
  <si>
    <t>Neubau</t>
  </si>
  <si>
    <t>Unterhalt</t>
  </si>
  <si>
    <t>H/R</t>
  </si>
  <si>
    <t>Grundpauschale_A, Austrichtern</t>
  </si>
  <si>
    <t>Grundpauschale_A, Jungwuchspflege</t>
  </si>
  <si>
    <t>Grundpauschale_A, Stumpen (einmalig)</t>
  </si>
  <si>
    <t>Grundpauschale_A, Ringeln (einmalig)</t>
  </si>
  <si>
    <t>Grundpauschale_A, Schlagpflege (max. 50% der  Schlagfläche, einmalig)</t>
  </si>
  <si>
    <t>Grundpauschale_B1, Dickungspflege</t>
  </si>
  <si>
    <t>Grundpauschale_B2, Stangenholzpflege bis BHD 30cm</t>
  </si>
  <si>
    <t>Grundpauschale_B2, Pflege stufiger  Bestände</t>
  </si>
  <si>
    <t>Grundpauschale_B2, Rottenpflege</t>
  </si>
  <si>
    <t>Grundpauschale_F, Holzerei mit Verwertung</t>
  </si>
  <si>
    <t>Grundpauschale_F, Holzerei ohne Verwertung</t>
  </si>
  <si>
    <t>Pauschale mit Massnahme H/R</t>
  </si>
  <si>
    <t>Fr./ha</t>
  </si>
  <si>
    <t>Beitrag in Fr.</t>
  </si>
  <si>
    <t>Gundpauschale E                Einzelbäume</t>
  </si>
  <si>
    <t>Grundpauschale_A0, Austrichtern</t>
  </si>
  <si>
    <t>Grundpauschale_A0, Jungwuchspflege</t>
  </si>
  <si>
    <t>Grundpauschale_A0, Stumpen (einmalig)</t>
  </si>
  <si>
    <t>Grundpauschale_A0, Ringeln (einmalig)</t>
  </si>
  <si>
    <t>Grundpauschale_A10, Austrichtern</t>
  </si>
  <si>
    <t>Grundpauschale_A10, Jungwuchspflege</t>
  </si>
  <si>
    <t>Grundpauschale_A10, Stumpen (einmalig)</t>
  </si>
  <si>
    <t>Grundpauschale_A10, Ringeln (einmalig)</t>
  </si>
  <si>
    <t>Grundpauschale_A20, Austrichtern</t>
  </si>
  <si>
    <t>Grundpauschale_A20, Jungwuchspflege</t>
  </si>
  <si>
    <t>Grundpauschale_A20, Stumpen (einmalig)</t>
  </si>
  <si>
    <t>Grundpauschale_A20, Ringeln (einmalig)</t>
  </si>
  <si>
    <t>Grundpauschale_B0, Dickungspflege</t>
  </si>
  <si>
    <t>Grundpauschale_B0, Stangenholzpflege bis BHD dom 30cm</t>
  </si>
  <si>
    <t>Grundpauschale_B0, Pflege stufiger Bestände</t>
  </si>
  <si>
    <t>Grundpauschale_B0, Rottenpflege</t>
  </si>
  <si>
    <t>Grundpauschale_B10, Dickungspflege</t>
  </si>
  <si>
    <t>Grundpauschale_B10, Stangenholzpflege bis BHD dom 30cm</t>
  </si>
  <si>
    <t>Grundpauschale_B10, Pflege stufiger Bestände</t>
  </si>
  <si>
    <t>Grundpauschale_B10, Rottenpflege</t>
  </si>
  <si>
    <t>Grundpauschale L/S</t>
  </si>
  <si>
    <t>Grundpauschale / Massnahme</t>
  </si>
  <si>
    <t>Grundpauschale_B20, Dickungspflege</t>
  </si>
  <si>
    <t>Grundpauschale_B20, Stangenholzpflege bis BHD dom 30cm</t>
  </si>
  <si>
    <t>Grundpauschale_B20, Pflege stufiger Bestände</t>
  </si>
  <si>
    <t>Grundpauschale_B20, Rottenpflege</t>
  </si>
  <si>
    <t>Grundpauschale_C0, Holzerei mit Verwertung</t>
  </si>
  <si>
    <t>Grundpauschale_C0, Holzerei ohne Verwertung</t>
  </si>
  <si>
    <t>Grundpauschale_C10, Holzerei mit Verwertung</t>
  </si>
  <si>
    <t>Grundpauschale_C10, Holzerei ohne Verwertung</t>
  </si>
  <si>
    <t>Grundpauschale_C20, Holzerei mit Verwertung</t>
  </si>
  <si>
    <t>Grundpauschale_C20, Holzerei ohne Verwertung</t>
  </si>
  <si>
    <t>Grundpauschale_D0, Holzerei mit angeordneter Bringung</t>
  </si>
  <si>
    <t>Grundpauschale_D0, Holzerei mit gesicherten Querbäumen</t>
  </si>
  <si>
    <t>Grundpauschale_D10, Holzerei mit angeordneter Bringung</t>
  </si>
  <si>
    <t>Grundpauschale_D10, Holzerei mit gesicherten Querbäumen</t>
  </si>
  <si>
    <t>Grundpauschale_D20, Holzerei mit angeordneter Bringung</t>
  </si>
  <si>
    <t>Grundpauschale_D20, Holzerei mit gesicherten Querbäumen</t>
  </si>
  <si>
    <t>LbH Zuschlag</t>
  </si>
  <si>
    <t>WeZ Zuschlag</t>
  </si>
  <si>
    <t>WaZ Zuschlag</t>
  </si>
  <si>
    <t>LbH Z</t>
  </si>
  <si>
    <t>Selektion C0 - D20</t>
  </si>
  <si>
    <t>Laubholzzuschlag 20% Fr.</t>
  </si>
  <si>
    <t>Wegzeitzuschlag 20% Fr.</t>
  </si>
  <si>
    <t>Selektion LbH Zuschlag Summe</t>
  </si>
  <si>
    <t>Selektion LbH Zuschlag</t>
  </si>
  <si>
    <t>Selektion Wartezeit Zuschlag 20%</t>
  </si>
  <si>
    <t>Selektion Wartezeit Zuschlag 20% Total</t>
  </si>
  <si>
    <t>Selektion Wartezeit Zuschlag 20% Fr.</t>
  </si>
  <si>
    <t>Selektion Wartezeit Zuschlag 40%</t>
  </si>
  <si>
    <t>Selektion Wartezeit Zuschlag 40% Total</t>
  </si>
  <si>
    <t>Selektion Wartezeit Zuschlag 40% Fr.</t>
  </si>
  <si>
    <t>Weiteres</t>
  </si>
  <si>
    <t>Sicherheitsholzerei</t>
  </si>
  <si>
    <t>Personensicherung und/oder Schwenkseil</t>
  </si>
  <si>
    <t>Stock-/Baumsicherung</t>
  </si>
  <si>
    <t>Fr./Stk</t>
  </si>
  <si>
    <t>Fr./m'</t>
  </si>
  <si>
    <t>Ersteingriff</t>
  </si>
  <si>
    <t>Folgeeingriff</t>
  </si>
  <si>
    <t>Weiserflächen</t>
  </si>
  <si>
    <t>Erstaufnahme</t>
  </si>
  <si>
    <t>Folgeaufnahme</t>
  </si>
  <si>
    <t>1. Die Weisungen des AWN müssen befolgt werden.
2. Die Massnahmen müssen fachgerecht ausgeführt werden;  es muss fachkundiges Personal eingesetzt werden.
3. Die Zielsetzung darf durch nachteilige Nutzung (Waldweide, usw.) und überhöhte Wildbestände nicht gefährdet werden.
4. Die Richtlinien und Sicherheitsbestimmungen von SUVA, EKAS und BAZL sind einzuhalten.
5. Einverständnis Waldbesitzer / sicherheitsverantwortliche Stelle oder Publikation.</t>
  </si>
  <si>
    <t>Die Zustimmung zum Gesuch stellt keine Beitragszusicherung dar. Diese erfolgt erst durch die Genehmigung der Abrechnung und der Ausgabenbewilligung. Die Auszahlung der Beiträge erfolgt nach Massgabe der zur Verfügung stehenden Kredite. Falls der Voranschlag höher als Fr. 100'000.- ausfällt, ist die Zustimmung des AV einzuholen.</t>
  </si>
  <si>
    <t>Die Arbeiten sind fachgerecht ausgeführt und die Beitragsberechtigung wird anerkannt und die Ausmasse gemäss Ziffer 3, Spalte Abrechnung, bestätigt.</t>
  </si>
  <si>
    <t>Anzeichnungsprotokoll Liste 1</t>
  </si>
  <si>
    <t>Anzeichnungsprotokoll Liste 2</t>
  </si>
  <si>
    <t>Anzeichnungsprotokoll Liste 3</t>
  </si>
  <si>
    <t>Anzeichnungsprotokoll Liste 4</t>
  </si>
  <si>
    <t>Anzeichnungsprotokoll Liste 5</t>
  </si>
  <si>
    <t>Anzeichnungsprotokoll Liste 6</t>
  </si>
  <si>
    <t>Anzeichnungsprotokoll Liste 7</t>
  </si>
  <si>
    <t>Anzeichnungsprotokoll Liste 8</t>
  </si>
  <si>
    <t>Holzerlöse für Anzeichnungsprotokoll</t>
  </si>
  <si>
    <t>Holzart</t>
  </si>
  <si>
    <t>Holzerlös pro Tfm / Total</t>
  </si>
  <si>
    <t>BHD cm / Massenmittelstamm Tfm</t>
  </si>
  <si>
    <t>Holzerlös Total</t>
  </si>
  <si>
    <t>Fr./Tfm</t>
  </si>
  <si>
    <t>gewichteter Holzerlös gem. Anzeichnung</t>
  </si>
  <si>
    <t>Wegzeit &gt; 60 Minuten für Hin- und Rückweg (ab befahrbarer Waldstrasse/Weg) -&gt; 20% der Grundpauschale (Bezogen auf Pauschale A0, B0, C0, D0)</t>
  </si>
  <si>
    <t>Zuschlag 20% der Grundpauschale (Bezogen auf Pauschale C0, D0)</t>
  </si>
  <si>
    <t>Wartezeit 10-20 Min.: 20% Zuschlag auf Grundpauschale (Bezogen auf Pauschale C0, D0)</t>
  </si>
  <si>
    <t>Wartezeit 20-30 Min.: 40% Zuschlag auf Grundpauschale (Bezogen auf Pauschale C0, D0)</t>
  </si>
  <si>
    <t>Selektion Pauschale</t>
  </si>
  <si>
    <t>Selektion Wegzeitzuschlag</t>
  </si>
  <si>
    <t>Selektion Wegzeitzuschlag Summe Punkte</t>
  </si>
  <si>
    <t>temp. Schutznetz (Pauchalansatz)</t>
  </si>
  <si>
    <t xml:space="preserve"> temporäres Steinschlagschutznetz nach Aufwand</t>
  </si>
  <si>
    <t>Pauschalansatz pro Baum</t>
  </si>
  <si>
    <t>Restkosten (inkl. MWSt. 7.7%)</t>
  </si>
  <si>
    <t>Gemeinde</t>
  </si>
  <si>
    <t>Lokalname</t>
  </si>
  <si>
    <t>Der Revierförster / Die Projektleitung</t>
  </si>
  <si>
    <t>Der Revierförster / Die Projektleitung :</t>
  </si>
  <si>
    <t>Revierförster Projektleiter:</t>
  </si>
  <si>
    <t>Der Revierförster/Die Projektleitung:</t>
  </si>
  <si>
    <t>Grundpauschale_B2, Pflanzung (500 Stk/ha) inkl. WSVM + Austrichtern</t>
  </si>
  <si>
    <t>Grundpauschale_B0, Pflanzungen (500 Stk/ha) inkl. WSVM + Austrichtern</t>
  </si>
  <si>
    <t>Grundpauschale_B10, Pflanzungen (500 Stk/ha) inkl. WSVM + Austrichtern</t>
  </si>
  <si>
    <t>Grundpauschale_B20, Pflanzungen (500 Stk/ha) inkl. WSVM + Austrichtern</t>
  </si>
  <si>
    <t>3) Abrechnungsfläche pro Querbaum: 3 Aren pro Querbaum</t>
  </si>
  <si>
    <r>
      <t xml:space="preserve"> - Stumpen (einmalig) </t>
    </r>
    <r>
      <rPr>
        <vertAlign val="superscript"/>
        <sz val="8"/>
        <rFont val="Arial"/>
        <family val="2"/>
      </rPr>
      <t>1</t>
    </r>
  </si>
  <si>
    <r>
      <t xml:space="preserve"> - * Pflanzungen (7'800.-- CHF/ha für 500 Stk/ha) </t>
    </r>
    <r>
      <rPr>
        <vertAlign val="superscript"/>
        <sz val="8"/>
        <rFont val="Arial"/>
        <family val="2"/>
      </rPr>
      <t>2</t>
    </r>
  </si>
  <si>
    <r>
      <t xml:space="preserve">   Querbäumen </t>
    </r>
    <r>
      <rPr>
        <vertAlign val="superscript"/>
        <sz val="8"/>
        <rFont val="Arial"/>
        <family val="2"/>
      </rPr>
      <t>3</t>
    </r>
  </si>
  <si>
    <t>2) Bestandesbegründung, Ergänzungspflanzung einmalig, Pauschale von 7'800.-- CHF/ha gilt für 500 Stk/ha, inkl. einmalig Austrichtern und allfällige Wildschutzmassnahmen</t>
  </si>
  <si>
    <r>
      <t xml:space="preserve"> - * Pflanzungen</t>
    </r>
    <r>
      <rPr>
        <sz val="8"/>
        <rFont val="Arial"/>
        <family val="2"/>
      </rPr>
      <t xml:space="preserve"> (für 500 Stk/ha inkl. WSVM und 1. Austrichtern)</t>
    </r>
  </si>
  <si>
    <t>3'000.-- CHF/ha
(*7'800.-- CHF/ha)</t>
  </si>
  <si>
    <t xml:space="preserve">3'000.-- CHF/ha
(*7'800.-- CHF/ha) </t>
  </si>
  <si>
    <t>4'000.-- CHF/ha (B0)
(*7'800.-- CHF/ha Pflanzungen)</t>
  </si>
  <si>
    <t xml:space="preserve">4'000.-- CHF/ha (B0)
(*7'800.-- CHF/ha Pflanzungen) </t>
  </si>
  <si>
    <t>4'400.-- CHF/ha (B10)
(*7'800.-- CHF/ha Pflanzungen)</t>
  </si>
  <si>
    <t xml:space="preserve">4'400.-- CHF/ha (B10)
(*7'800.-- CHF/ha Pflanzungen) </t>
  </si>
  <si>
    <t>4'800.-- CHF/ha (B20)
(*7'800.-- CHF/ha Pflanzungen)</t>
  </si>
  <si>
    <t xml:space="preserve">4'800.-- CHF/ha (B20)
(*7'800.-- CHF/ha Pflanzungen) </t>
  </si>
  <si>
    <t>● Herleitung der anrechenbaren Fläche bei Pflanzungen: Für die Abrechnung des vollen Beitrags wurde eine Bepflanzung 
   von 500 Stk/ha angenommen. Für geringere Stückzahlen pro Are ist ein entsprechender prozentualer Abzug vorzunehmen.</t>
  </si>
  <si>
    <t>Version 22/1</t>
  </si>
  <si>
    <t>Pflege im OSW, KS 6.1/7. Version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</si>
</sst>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 #,##0.0_ ;_ * \-#,##0.0_ ;_ * &quot;-&quot;??_ ;_ @_ "/>
    <numFmt numFmtId="165" formatCode="_ * #,##0_ ;_ * \-#,##0_ ;_ * &quot;-&quot;??_ ;_ @_ "/>
    <numFmt numFmtId="166" formatCode="dd/mm/yyyy;@"/>
    <numFmt numFmtId="167" formatCode="0.0"/>
    <numFmt numFmtId="168" formatCode="#,##0.00_ ;\-#,##0.00\ "/>
    <numFmt numFmtId="169" formatCode="[$-807]d/\ mmmm\ yyyy;@"/>
    <numFmt numFmtId="170" formatCode="0.000"/>
    <numFmt numFmtId="171" formatCode="_ * #,##0.000_ ;_ * \-#,##0.000_ ;_ * &quot;-&quot;??_ ;_ @_ "/>
    <numFmt numFmtId="172" formatCode="[$-F800]dddd\,\ mmmm\ dd\,\ yyyy"/>
  </numFmts>
  <fonts count="91">
    <font>
      <sz val="10"/>
      <name val="Arial"/>
    </font>
    <font>
      <sz val="10"/>
      <name val="Arial"/>
      <family val="2"/>
    </font>
    <font>
      <b/>
      <sz val="10"/>
      <name val="Arial"/>
      <family val="2"/>
    </font>
    <font>
      <b/>
      <i/>
      <sz val="10"/>
      <name val="Arial"/>
      <family val="2"/>
    </font>
    <font>
      <i/>
      <sz val="10"/>
      <name val="Arial"/>
      <family val="2"/>
    </font>
    <font>
      <sz val="16"/>
      <name val="Arial"/>
      <family val="2"/>
    </font>
    <font>
      <sz val="11"/>
      <name val="Arial"/>
      <family val="2"/>
    </font>
    <font>
      <u/>
      <sz val="11"/>
      <name val="Arial"/>
      <family val="2"/>
    </font>
    <font>
      <sz val="11"/>
      <color indexed="10"/>
      <name val="Arial"/>
      <family val="2"/>
    </font>
    <font>
      <b/>
      <sz val="11"/>
      <name val="Arial"/>
      <family val="2"/>
    </font>
    <font>
      <u/>
      <sz val="10"/>
      <name val="Arial"/>
      <family val="2"/>
    </font>
    <font>
      <sz val="10"/>
      <color indexed="12"/>
      <name val="Arial"/>
      <family val="2"/>
    </font>
    <font>
      <sz val="10"/>
      <color indexed="10"/>
      <name val="Arial"/>
      <family val="2"/>
    </font>
    <font>
      <sz val="10"/>
      <color indexed="9"/>
      <name val="Arial"/>
      <family val="2"/>
    </font>
    <font>
      <sz val="8"/>
      <name val="Arial"/>
      <family val="2"/>
    </font>
    <font>
      <sz val="9"/>
      <name val="Arial"/>
      <family val="2"/>
    </font>
    <font>
      <sz val="12"/>
      <name val="Arial"/>
      <family val="2"/>
    </font>
    <font>
      <sz val="10"/>
      <color indexed="41"/>
      <name val="Arial"/>
      <family val="2"/>
    </font>
    <font>
      <b/>
      <sz val="12"/>
      <name val="Arial"/>
      <family val="2"/>
    </font>
    <font>
      <b/>
      <vertAlign val="superscript"/>
      <sz val="10"/>
      <name val="Arial"/>
      <family val="2"/>
    </font>
    <font>
      <sz val="11"/>
      <color indexed="9"/>
      <name val="Arial"/>
      <family val="2"/>
    </font>
    <font>
      <b/>
      <u/>
      <sz val="11"/>
      <name val="Arial"/>
      <family val="2"/>
    </font>
    <font>
      <b/>
      <sz val="14"/>
      <name val="Arial"/>
      <family val="2"/>
    </font>
    <font>
      <i/>
      <sz val="8"/>
      <name val="Arial"/>
      <family val="2"/>
    </font>
    <font>
      <b/>
      <i/>
      <sz val="11"/>
      <name val="Arial"/>
      <family val="2"/>
    </font>
    <font>
      <b/>
      <u/>
      <sz val="20"/>
      <name val="Arial"/>
      <family val="2"/>
    </font>
    <font>
      <b/>
      <sz val="11"/>
      <color indexed="10"/>
      <name val="Arial"/>
      <family val="2"/>
    </font>
    <font>
      <sz val="9"/>
      <color indexed="81"/>
      <name val="Tahoma"/>
      <family val="2"/>
    </font>
    <font>
      <b/>
      <sz val="9"/>
      <color indexed="81"/>
      <name val="Tahoma"/>
      <family val="2"/>
    </font>
    <font>
      <sz val="8"/>
      <color indexed="10"/>
      <name val="Arial"/>
      <family val="2"/>
    </font>
    <font>
      <sz val="9"/>
      <color indexed="81"/>
      <name val="Segoe UI"/>
      <family val="2"/>
    </font>
    <font>
      <b/>
      <sz val="16"/>
      <name val="Arial"/>
      <family val="2"/>
    </font>
    <font>
      <sz val="10"/>
      <name val="Arial Narrow"/>
      <family val="2"/>
    </font>
    <font>
      <sz val="11"/>
      <name val="Arial Narrow"/>
      <family val="2"/>
    </font>
    <font>
      <sz val="11"/>
      <name val="Wingdings"/>
      <charset val="2"/>
    </font>
    <font>
      <b/>
      <sz val="20"/>
      <name val="Arial (W1)"/>
      <family val="2"/>
    </font>
    <font>
      <b/>
      <sz val="12"/>
      <name val="Arial (W1)"/>
    </font>
    <font>
      <b/>
      <sz val="11"/>
      <name val="Arial (W1)"/>
      <family val="2"/>
    </font>
    <font>
      <sz val="11"/>
      <name val="Arial (W1)"/>
      <family val="2"/>
    </font>
    <font>
      <sz val="10"/>
      <name val="Arial (W1)"/>
      <family val="2"/>
    </font>
    <font>
      <b/>
      <sz val="10"/>
      <name val="Arial (W1)"/>
      <family val="2"/>
    </font>
    <font>
      <sz val="11"/>
      <name val="Arial (W1)"/>
    </font>
    <font>
      <b/>
      <sz val="11"/>
      <name val="Arial (W1)"/>
    </font>
    <font>
      <b/>
      <sz val="14"/>
      <name val="Arial (W1)"/>
      <family val="2"/>
    </font>
    <font>
      <b/>
      <sz val="9"/>
      <name val="Arial (W1)"/>
      <family val="2"/>
    </font>
    <font>
      <sz val="10"/>
      <name val="Arial (W1)"/>
    </font>
    <font>
      <b/>
      <sz val="22"/>
      <name val="Arial"/>
      <family val="2"/>
    </font>
    <font>
      <b/>
      <sz val="9"/>
      <color indexed="81"/>
      <name val="Segoe UI"/>
      <family val="2"/>
    </font>
    <font>
      <sz val="12"/>
      <color indexed="10"/>
      <name val="Arial"/>
      <family val="2"/>
    </font>
    <font>
      <b/>
      <sz val="8"/>
      <name val="Arial"/>
      <family val="2"/>
    </font>
    <font>
      <b/>
      <u/>
      <sz val="10"/>
      <name val="Arial"/>
      <family val="2"/>
    </font>
    <font>
      <sz val="8"/>
      <color indexed="8"/>
      <name val="Arial"/>
      <family val="2"/>
    </font>
    <font>
      <sz val="7"/>
      <name val="Times New Roman"/>
      <family val="1"/>
    </font>
    <font>
      <sz val="11"/>
      <name val="Symbol"/>
      <family val="1"/>
      <charset val="2"/>
    </font>
    <font>
      <b/>
      <u/>
      <sz val="12"/>
      <name val="Arial"/>
      <family val="2"/>
    </font>
    <font>
      <b/>
      <sz val="9"/>
      <name val="Arial"/>
      <family val="2"/>
    </font>
    <font>
      <b/>
      <u/>
      <sz val="16"/>
      <color indexed="10"/>
      <name val="Arial"/>
      <family val="2"/>
    </font>
    <font>
      <i/>
      <vertAlign val="superscript"/>
      <sz val="10"/>
      <name val="Arial"/>
      <family val="2"/>
    </font>
    <font>
      <b/>
      <i/>
      <sz val="12"/>
      <name val="Arial"/>
      <family val="2"/>
    </font>
    <font>
      <u/>
      <sz val="10"/>
      <color theme="10"/>
      <name val="Arial"/>
      <family val="2"/>
    </font>
    <font>
      <sz val="11"/>
      <color theme="1"/>
      <name val="Arial"/>
      <family val="2"/>
    </font>
    <font>
      <sz val="11"/>
      <color rgb="FF9C0006"/>
      <name val="Arial"/>
      <family val="2"/>
    </font>
    <font>
      <sz val="9"/>
      <color theme="0"/>
      <name val="Arial"/>
      <family val="2"/>
    </font>
    <font>
      <sz val="10"/>
      <color rgb="FFFF0000"/>
      <name val="Arial"/>
      <family val="2"/>
    </font>
    <font>
      <b/>
      <sz val="11"/>
      <color theme="0"/>
      <name val="Arial"/>
      <family val="2"/>
    </font>
    <font>
      <b/>
      <i/>
      <sz val="11"/>
      <color theme="0"/>
      <name val="Arial"/>
      <family val="2"/>
    </font>
    <font>
      <sz val="10"/>
      <name val="Arial"/>
      <family val="2"/>
    </font>
    <font>
      <sz val="10"/>
      <color rgb="FF0000FF"/>
      <name val="Arial"/>
      <family val="2"/>
    </font>
    <font>
      <u/>
      <sz val="16"/>
      <color theme="10"/>
      <name val="Arial"/>
      <family val="2"/>
    </font>
    <font>
      <sz val="12"/>
      <color theme="1"/>
      <name val="Arial"/>
      <family val="2"/>
    </font>
    <font>
      <sz val="16"/>
      <color theme="1"/>
      <name val="Arial"/>
      <family val="2"/>
    </font>
    <font>
      <i/>
      <sz val="12"/>
      <color theme="1"/>
      <name val="Arial"/>
      <family val="2"/>
    </font>
    <font>
      <b/>
      <sz val="16"/>
      <color theme="1"/>
      <name val="Arial"/>
      <family val="2"/>
    </font>
    <font>
      <b/>
      <sz val="12"/>
      <color theme="1"/>
      <name val="Arial"/>
      <family val="2"/>
    </font>
    <font>
      <b/>
      <sz val="11"/>
      <color theme="1"/>
      <name val="Arial"/>
      <family val="2"/>
    </font>
    <font>
      <sz val="11"/>
      <color theme="0"/>
      <name val="Arial"/>
      <family val="2"/>
    </font>
    <font>
      <sz val="10"/>
      <color theme="0"/>
      <name val="Arial"/>
      <family val="2"/>
    </font>
    <font>
      <sz val="10"/>
      <color theme="4" tint="0.79998168889431442"/>
      <name val="Arial"/>
      <family val="2"/>
    </font>
    <font>
      <sz val="10"/>
      <color theme="8" tint="0.79998168889431442"/>
      <name val="Arial"/>
      <family val="2"/>
    </font>
    <font>
      <sz val="10"/>
      <color theme="3" tint="0.79998168889431442"/>
      <name val="Arial"/>
      <family val="2"/>
    </font>
    <font>
      <u/>
      <sz val="14"/>
      <color theme="10"/>
      <name val="Arial"/>
      <family val="2"/>
    </font>
    <font>
      <sz val="11"/>
      <color rgb="FF0070C0"/>
      <name val="Arial"/>
      <family val="2"/>
    </font>
    <font>
      <b/>
      <i/>
      <sz val="10"/>
      <color rgb="FFFF0000"/>
      <name val="Arial"/>
      <family val="2"/>
    </font>
    <font>
      <i/>
      <sz val="10"/>
      <color rgb="FFFF0000"/>
      <name val="Arial"/>
      <family val="2"/>
    </font>
    <font>
      <sz val="10"/>
      <color rgb="FF000000"/>
      <name val="Arial"/>
      <family val="2"/>
    </font>
    <font>
      <sz val="8"/>
      <color rgb="FF000000"/>
      <name val="Tahoma"/>
      <family val="2"/>
    </font>
    <font>
      <sz val="8.5"/>
      <name val="Arial"/>
      <family val="2"/>
    </font>
    <font>
      <sz val="9"/>
      <color rgb="FFFFFF99"/>
      <name val="Arial"/>
      <family val="2"/>
    </font>
    <font>
      <b/>
      <i/>
      <sz val="12"/>
      <color theme="0" tint="-0.14999847407452621"/>
      <name val="Arial"/>
      <family val="2"/>
    </font>
    <font>
      <b/>
      <i/>
      <sz val="12"/>
      <color theme="1"/>
      <name val="Arial"/>
      <family val="2"/>
    </font>
    <font>
      <vertAlign val="superscript"/>
      <sz val="8"/>
      <name val="Arial"/>
      <family val="2"/>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rgb="FFFFC7CE"/>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0" tint="-0.249977111117893"/>
        <bgColor indexed="64"/>
      </patternFill>
    </fill>
    <fill>
      <patternFill patternType="solid">
        <fgColor rgb="FFFFFF99"/>
        <bgColor indexed="64"/>
      </patternFill>
    </fill>
  </fills>
  <borders count="6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9">
    <xf numFmtId="0" fontId="0" fillId="0" borderId="0"/>
    <xf numFmtId="43" fontId="1" fillId="0" borderId="0" applyFont="0" applyFill="0" applyBorder="0" applyAlignment="0" applyProtection="0"/>
    <xf numFmtId="43" fontId="60" fillId="0" borderId="0" applyFont="0" applyFill="0" applyBorder="0" applyAlignment="0" applyProtection="0"/>
    <xf numFmtId="0" fontId="59" fillId="0" borderId="0" applyNumberFormat="0" applyFill="0" applyBorder="0" applyAlignment="0" applyProtection="0"/>
    <xf numFmtId="9" fontId="1" fillId="0" borderId="0" applyFont="0" applyFill="0" applyBorder="0" applyAlignment="0" applyProtection="0"/>
    <xf numFmtId="0" fontId="61" fillId="5" borderId="0" applyNumberFormat="0" applyBorder="0" applyAlignment="0" applyProtection="0"/>
    <xf numFmtId="0" fontId="1" fillId="0" borderId="0"/>
    <xf numFmtId="0" fontId="6" fillId="0" borderId="0"/>
    <xf numFmtId="0" fontId="60" fillId="0" borderId="0"/>
  </cellStyleXfs>
  <cellXfs count="1286">
    <xf numFmtId="0" fontId="0" fillId="0" borderId="0" xfId="0"/>
    <xf numFmtId="0" fontId="2" fillId="0" borderId="0" xfId="0" applyFont="1"/>
    <xf numFmtId="43" fontId="0" fillId="0" borderId="0" xfId="1" applyFont="1"/>
    <xf numFmtId="0" fontId="5" fillId="0" borderId="0" xfId="0" applyFont="1" applyProtection="1"/>
    <xf numFmtId="0" fontId="6" fillId="0" borderId="0" xfId="0" applyFont="1" applyProtection="1"/>
    <xf numFmtId="0" fontId="6" fillId="0" borderId="0" xfId="0" applyFont="1" applyBorder="1" applyProtection="1"/>
    <xf numFmtId="165" fontId="0" fillId="0" borderId="0" xfId="1" applyNumberFormat="1" applyFont="1"/>
    <xf numFmtId="0" fontId="0" fillId="0" borderId="0" xfId="0" applyProtection="1"/>
    <xf numFmtId="43" fontId="2" fillId="0" borderId="0" xfId="1" applyFont="1" applyAlignment="1"/>
    <xf numFmtId="0" fontId="1" fillId="0" borderId="0" xfId="0" applyFont="1"/>
    <xf numFmtId="43" fontId="0" fillId="0" borderId="0" xfId="0" applyNumberFormat="1"/>
    <xf numFmtId="43" fontId="6" fillId="0" borderId="0" xfId="1" applyFont="1" applyProtection="1"/>
    <xf numFmtId="0" fontId="0" fillId="0" borderId="0" xfId="0" applyFill="1" applyBorder="1" applyProtection="1"/>
    <xf numFmtId="0" fontId="0" fillId="0" borderId="0" xfId="0" applyAlignment="1" applyProtection="1">
      <alignment horizontal="left" indent="2"/>
    </xf>
    <xf numFmtId="0" fontId="0" fillId="0" borderId="0" xfId="0" applyAlignment="1" applyProtection="1">
      <alignment horizontal="right"/>
    </xf>
    <xf numFmtId="43" fontId="0" fillId="0" borderId="0" xfId="1" applyNumberFormat="1" applyFont="1"/>
    <xf numFmtId="43" fontId="0" fillId="0" borderId="0" xfId="1" applyFont="1" applyProtection="1"/>
    <xf numFmtId="43" fontId="12" fillId="0" borderId="0" xfId="1" applyNumberFormat="1" applyFont="1"/>
    <xf numFmtId="0" fontId="12" fillId="0" borderId="0" xfId="0" applyFont="1"/>
    <xf numFmtId="0" fontId="21" fillId="0" borderId="0" xfId="0" applyFont="1" applyBorder="1" applyProtection="1"/>
    <xf numFmtId="0" fontId="6" fillId="0" borderId="0" xfId="0" applyFont="1" applyBorder="1" applyAlignment="1" applyProtection="1">
      <alignment horizontal="left" indent="2"/>
    </xf>
    <xf numFmtId="43" fontId="3" fillId="0" borderId="2" xfId="1" applyFont="1" applyBorder="1" applyProtection="1"/>
    <xf numFmtId="43" fontId="2" fillId="0" borderId="2" xfId="1" applyFont="1" applyBorder="1" applyProtection="1"/>
    <xf numFmtId="43" fontId="0" fillId="0" borderId="3" xfId="1" applyFont="1" applyBorder="1" applyProtection="1"/>
    <xf numFmtId="0" fontId="6" fillId="0" borderId="0" xfId="0" applyFont="1" applyAlignment="1" applyProtection="1">
      <alignment horizontal="left" indent="2"/>
    </xf>
    <xf numFmtId="0" fontId="6" fillId="0" borderId="0" xfId="0" applyFont="1" applyAlignment="1" applyProtection="1">
      <alignment horizontal="right"/>
    </xf>
    <xf numFmtId="0" fontId="9" fillId="0" borderId="4" xfId="0" applyFont="1" applyBorder="1" applyProtection="1"/>
    <xf numFmtId="0" fontId="9" fillId="0" borderId="5" xfId="0" applyFont="1" applyBorder="1" applyProtection="1"/>
    <xf numFmtId="0" fontId="9" fillId="2" borderId="5" xfId="0" applyFont="1" applyFill="1" applyBorder="1" applyAlignment="1" applyProtection="1">
      <alignment horizontal="center"/>
      <protection locked="0"/>
    </xf>
    <xf numFmtId="0" fontId="6" fillId="0" borderId="6" xfId="0" applyFont="1" applyBorder="1" applyProtection="1"/>
    <xf numFmtId="0" fontId="20" fillId="0" borderId="0" xfId="0" applyFont="1" applyProtection="1"/>
    <xf numFmtId="0" fontId="14" fillId="0" borderId="2" xfId="0" applyFont="1" applyBorder="1" applyAlignment="1" applyProtection="1">
      <alignment horizontal="center"/>
    </xf>
    <xf numFmtId="0" fontId="23" fillId="0" borderId="2" xfId="0" applyFont="1" applyBorder="1" applyAlignment="1" applyProtection="1">
      <alignment horizontal="center"/>
    </xf>
    <xf numFmtId="2" fontId="14" fillId="3" borderId="7" xfId="0" applyNumberFormat="1" applyFont="1" applyFill="1" applyBorder="1" applyProtection="1"/>
    <xf numFmtId="0" fontId="2" fillId="0" borderId="0" xfId="0" applyFont="1" applyProtection="1"/>
    <xf numFmtId="0" fontId="25" fillId="0" borderId="0" xfId="0" applyFont="1"/>
    <xf numFmtId="0" fontId="0" fillId="4" borderId="2" xfId="0" applyFill="1" applyBorder="1"/>
    <xf numFmtId="0" fontId="11" fillId="0" borderId="2" xfId="0" applyFont="1" applyBorder="1" applyProtection="1"/>
    <xf numFmtId="0" fontId="6" fillId="0" borderId="5" xfId="0" applyFont="1" applyBorder="1" applyProtection="1"/>
    <xf numFmtId="0" fontId="7" fillId="0" borderId="0" xfId="0" applyFont="1" applyBorder="1" applyAlignment="1" applyProtection="1"/>
    <xf numFmtId="0" fontId="1" fillId="0" borderId="0" xfId="0" applyFont="1" applyAlignment="1" applyProtection="1"/>
    <xf numFmtId="0" fontId="1" fillId="0" borderId="3" xfId="0" applyFont="1" applyFill="1" applyBorder="1" applyAlignment="1" applyProtection="1"/>
    <xf numFmtId="0" fontId="62" fillId="0" borderId="0" xfId="0" applyNumberFormat="1" applyFont="1" applyAlignment="1" applyProtection="1"/>
    <xf numFmtId="2" fontId="0" fillId="0" borderId="0" xfId="0" applyNumberFormat="1"/>
    <xf numFmtId="2" fontId="12" fillId="0" borderId="0" xfId="0" applyNumberFormat="1" applyFont="1" applyProtection="1"/>
    <xf numFmtId="2" fontId="0" fillId="0" borderId="0" xfId="0" applyNumberFormat="1" applyProtection="1"/>
    <xf numFmtId="2" fontId="12" fillId="0" borderId="0" xfId="0" applyNumberFormat="1" applyFont="1"/>
    <xf numFmtId="43" fontId="1" fillId="0" borderId="0" xfId="1" applyFont="1" applyProtection="1"/>
    <xf numFmtId="2" fontId="6" fillId="0" borderId="0" xfId="0" applyNumberFormat="1" applyFont="1" applyProtection="1"/>
    <xf numFmtId="0" fontId="24" fillId="6" borderId="2" xfId="0" applyFont="1" applyFill="1" applyBorder="1" applyProtection="1"/>
    <xf numFmtId="0" fontId="23" fillId="7" borderId="7" xfId="0" applyFont="1" applyFill="1" applyBorder="1" applyProtection="1">
      <protection locked="0"/>
    </xf>
    <xf numFmtId="0" fontId="23" fillId="7" borderId="2" xfId="0" applyFont="1" applyFill="1" applyBorder="1" applyProtection="1">
      <protection locked="0"/>
    </xf>
    <xf numFmtId="43" fontId="11" fillId="0" borderId="2" xfId="1" applyFont="1" applyBorder="1" applyProtection="1"/>
    <xf numFmtId="43" fontId="0" fillId="0" borderId="0" xfId="1" applyFont="1" applyFill="1"/>
    <xf numFmtId="0" fontId="11" fillId="0" borderId="2" xfId="0" applyFont="1" applyBorder="1" applyAlignment="1" applyProtection="1">
      <alignment wrapText="1"/>
    </xf>
    <xf numFmtId="0" fontId="0" fillId="0" borderId="0" xfId="0" applyAlignment="1">
      <alignment wrapText="1"/>
    </xf>
    <xf numFmtId="0" fontId="9" fillId="0" borderId="0" xfId="0" applyFont="1" applyFill="1" applyBorder="1" applyAlignment="1" applyProtection="1">
      <alignment horizontal="right"/>
    </xf>
    <xf numFmtId="0" fontId="24" fillId="0" borderId="0" xfId="0" applyFont="1" applyFill="1" applyBorder="1" applyProtection="1"/>
    <xf numFmtId="43" fontId="9" fillId="0" borderId="0" xfId="1" applyFont="1" applyFill="1" applyBorder="1" applyAlignment="1" applyProtection="1">
      <alignment horizontal="center"/>
    </xf>
    <xf numFmtId="0" fontId="24" fillId="7" borderId="2" xfId="0" applyFont="1" applyFill="1" applyBorder="1" applyProtection="1">
      <protection locked="0"/>
    </xf>
    <xf numFmtId="0" fontId="24" fillId="0" borderId="2" xfId="0" applyFont="1" applyFill="1" applyBorder="1" applyProtection="1"/>
    <xf numFmtId="43" fontId="1" fillId="0" borderId="0" xfId="1" applyFont="1"/>
    <xf numFmtId="2" fontId="1" fillId="0" borderId="0" xfId="1" applyNumberFormat="1" applyFont="1"/>
    <xf numFmtId="43" fontId="63" fillId="0" borderId="0" xfId="1" applyFont="1"/>
    <xf numFmtId="165" fontId="63" fillId="0" borderId="0" xfId="1" applyNumberFormat="1" applyFont="1"/>
    <xf numFmtId="165" fontId="1" fillId="0" borderId="0" xfId="1" applyNumberFormat="1" applyFont="1"/>
    <xf numFmtId="0" fontId="0" fillId="0" borderId="8" xfId="0" applyFill="1" applyBorder="1" applyProtection="1"/>
    <xf numFmtId="0" fontId="14" fillId="0" borderId="8" xfId="0" applyFont="1" applyFill="1" applyBorder="1" applyAlignment="1" applyProtection="1">
      <alignment horizontal="left"/>
    </xf>
    <xf numFmtId="167" fontId="14" fillId="0" borderId="8" xfId="0" applyNumberFormat="1" applyFont="1" applyFill="1" applyBorder="1" applyProtection="1"/>
    <xf numFmtId="0" fontId="0" fillId="0" borderId="8" xfId="0" applyBorder="1" applyProtection="1"/>
    <xf numFmtId="43" fontId="64" fillId="0" borderId="0" xfId="1" applyFont="1" applyFill="1" applyBorder="1" applyAlignment="1" applyProtection="1">
      <alignment horizontal="center"/>
    </xf>
    <xf numFmtId="1" fontId="6" fillId="0" borderId="0" xfId="0" applyNumberFormat="1" applyFont="1" applyBorder="1" applyAlignment="1" applyProtection="1">
      <alignment vertical="center"/>
    </xf>
    <xf numFmtId="2" fontId="6" fillId="0" borderId="0" xfId="1" applyNumberFormat="1" applyFont="1" applyFill="1" applyBorder="1" applyAlignment="1" applyProtection="1">
      <alignment vertical="center"/>
    </xf>
    <xf numFmtId="0" fontId="1" fillId="0" borderId="0" xfId="0" applyFont="1" applyFill="1"/>
    <xf numFmtId="0" fontId="65" fillId="0" borderId="0" xfId="0" applyFont="1" applyFill="1" applyBorder="1" applyProtection="1"/>
    <xf numFmtId="9" fontId="11" fillId="7" borderId="2" xfId="4" applyFont="1" applyFill="1" applyBorder="1" applyAlignment="1" applyProtection="1">
      <alignment horizontal="right" vertical="center"/>
      <protection locked="0"/>
    </xf>
    <xf numFmtId="0" fontId="1" fillId="0" borderId="0" xfId="0" applyFont="1" applyFill="1" applyBorder="1"/>
    <xf numFmtId="43" fontId="66" fillId="8" borderId="0" xfId="1" applyFont="1" applyFill="1"/>
    <xf numFmtId="165" fontId="66" fillId="8" borderId="0" xfId="1" applyNumberFormat="1" applyFont="1" applyFill="1"/>
    <xf numFmtId="165" fontId="0" fillId="0" borderId="0" xfId="1" applyNumberFormat="1" applyFont="1" applyFill="1"/>
    <xf numFmtId="165" fontId="0" fillId="0" borderId="0" xfId="1" applyNumberFormat="1" applyFont="1" applyFill="1" applyBorder="1"/>
    <xf numFmtId="43" fontId="0" fillId="0" borderId="0" xfId="1" applyFont="1" applyFill="1" applyBorder="1"/>
    <xf numFmtId="43" fontId="2" fillId="0" borderId="0" xfId="1" applyFont="1" applyFill="1" applyBorder="1" applyAlignment="1"/>
    <xf numFmtId="43" fontId="1" fillId="0" borderId="0" xfId="1" applyFont="1" applyFill="1" applyAlignment="1"/>
    <xf numFmtId="0" fontId="6" fillId="0" borderId="0" xfId="7" applyProtection="1"/>
    <xf numFmtId="0" fontId="6" fillId="0" borderId="10" xfId="7" applyBorder="1" applyAlignment="1" applyProtection="1">
      <alignment horizontal="center"/>
    </xf>
    <xf numFmtId="0" fontId="6" fillId="0" borderId="11" xfId="7" applyBorder="1" applyAlignment="1" applyProtection="1">
      <alignment horizontal="center"/>
    </xf>
    <xf numFmtId="0" fontId="6" fillId="0" borderId="12" xfId="7" applyBorder="1" applyAlignment="1" applyProtection="1">
      <alignment horizontal="center"/>
    </xf>
    <xf numFmtId="0" fontId="6" fillId="0" borderId="1" xfId="7" applyBorder="1" applyProtection="1"/>
    <xf numFmtId="0" fontId="1" fillId="0" borderId="0" xfId="7" applyFont="1" applyBorder="1" applyAlignment="1" applyProtection="1">
      <alignment vertical="center"/>
    </xf>
    <xf numFmtId="0" fontId="6" fillId="0" borderId="0" xfId="7" applyBorder="1" applyProtection="1"/>
    <xf numFmtId="0" fontId="6" fillId="0" borderId="0" xfId="7" applyBorder="1" applyAlignment="1" applyProtection="1"/>
    <xf numFmtId="0" fontId="6" fillId="0" borderId="9" xfId="7" applyBorder="1" applyProtection="1"/>
    <xf numFmtId="0" fontId="6" fillId="0" borderId="13" xfId="7" applyBorder="1" applyProtection="1"/>
    <xf numFmtId="0" fontId="6" fillId="0" borderId="14" xfId="7" applyBorder="1" applyProtection="1"/>
    <xf numFmtId="0" fontId="6" fillId="0" borderId="15" xfId="7" applyBorder="1" applyProtection="1"/>
    <xf numFmtId="0" fontId="6" fillId="0" borderId="10" xfId="7" applyBorder="1" applyProtection="1"/>
    <xf numFmtId="0" fontId="6" fillId="0" borderId="11" xfId="7" applyBorder="1" applyProtection="1"/>
    <xf numFmtId="0" fontId="6" fillId="0" borderId="12" xfId="7" applyBorder="1" applyProtection="1"/>
    <xf numFmtId="0" fontId="32" fillId="0" borderId="14" xfId="7" applyFont="1" applyBorder="1" applyAlignment="1" applyProtection="1">
      <alignment vertical="top" wrapText="1"/>
    </xf>
    <xf numFmtId="0" fontId="9" fillId="0" borderId="0" xfId="7" applyFont="1" applyBorder="1" applyAlignment="1" applyProtection="1"/>
    <xf numFmtId="0" fontId="9" fillId="0" borderId="9" xfId="7" applyFont="1" applyBorder="1" applyAlignment="1" applyProtection="1"/>
    <xf numFmtId="0" fontId="1" fillId="0" borderId="0" xfId="7" applyFont="1" applyBorder="1" applyAlignment="1" applyProtection="1"/>
    <xf numFmtId="0" fontId="6" fillId="0" borderId="0" xfId="7" applyAlignment="1" applyProtection="1"/>
    <xf numFmtId="0" fontId="1" fillId="0" borderId="0" xfId="7" applyFont="1" applyAlignment="1" applyProtection="1">
      <alignment vertical="top" wrapText="1"/>
    </xf>
    <xf numFmtId="0" fontId="14" fillId="0" borderId="0" xfId="7" applyFont="1" applyAlignment="1" applyProtection="1"/>
    <xf numFmtId="0" fontId="6" fillId="0" borderId="0" xfId="7" applyAlignment="1" applyProtection="1">
      <alignment vertical="top"/>
    </xf>
    <xf numFmtId="0" fontId="6" fillId="0" borderId="0" xfId="7" applyFill="1" applyAlignment="1" applyProtection="1">
      <alignment vertical="center"/>
    </xf>
    <xf numFmtId="0" fontId="37" fillId="0" borderId="0" xfId="7" applyFont="1" applyFill="1" applyBorder="1" applyAlignment="1" applyProtection="1"/>
    <xf numFmtId="0" fontId="1" fillId="0" borderId="0" xfId="7" applyFont="1" applyFill="1" applyBorder="1" applyAlignment="1" applyProtection="1"/>
    <xf numFmtId="0" fontId="38" fillId="0" borderId="0" xfId="7" applyFont="1" applyFill="1" applyBorder="1" applyAlignment="1" applyProtection="1">
      <alignment vertical="center"/>
    </xf>
    <xf numFmtId="0" fontId="32" fillId="0" borderId="0" xfId="7" applyFont="1" applyProtection="1"/>
    <xf numFmtId="0" fontId="38" fillId="0" borderId="0" xfId="7" applyFont="1" applyProtection="1"/>
    <xf numFmtId="0" fontId="41" fillId="0" borderId="0" xfId="7" applyFont="1" applyFill="1" applyBorder="1" applyAlignment="1" applyProtection="1"/>
    <xf numFmtId="0" fontId="40" fillId="0" borderId="0" xfId="7" applyFont="1" applyFill="1" applyBorder="1" applyAlignment="1" applyProtection="1">
      <alignment horizontal="left"/>
    </xf>
    <xf numFmtId="0" fontId="39" fillId="0" borderId="0" xfId="7" applyFont="1" applyBorder="1" applyAlignment="1" applyProtection="1"/>
    <xf numFmtId="0" fontId="43" fillId="0" borderId="0" xfId="7" applyFont="1" applyFill="1" applyBorder="1" applyAlignment="1" applyProtection="1">
      <alignment horizontal="center" vertical="center"/>
    </xf>
    <xf numFmtId="0" fontId="1" fillId="0" borderId="0" xfId="7" applyFont="1" applyFill="1" applyProtection="1"/>
    <xf numFmtId="0" fontId="9" fillId="0" borderId="0" xfId="7" applyFont="1" applyFill="1" applyBorder="1" applyProtection="1"/>
    <xf numFmtId="0" fontId="9" fillId="0" borderId="0" xfId="7" applyFont="1" applyFill="1" applyBorder="1" applyAlignment="1" applyProtection="1"/>
    <xf numFmtId="0" fontId="1" fillId="0" borderId="0" xfId="7" applyFont="1" applyFill="1" applyBorder="1" applyProtection="1"/>
    <xf numFmtId="0" fontId="46" fillId="0" borderId="0" xfId="7" quotePrefix="1" applyFont="1" applyFill="1" applyBorder="1" applyAlignment="1" applyProtection="1">
      <alignment horizontal="center" vertical="center"/>
    </xf>
    <xf numFmtId="0" fontId="31" fillId="0" borderId="0" xfId="7" applyFont="1" applyFill="1" applyBorder="1" applyAlignment="1" applyProtection="1">
      <alignment horizontal="center" vertical="center"/>
    </xf>
    <xf numFmtId="0" fontId="6" fillId="0" borderId="0" xfId="7" applyFill="1" applyProtection="1"/>
    <xf numFmtId="0" fontId="38" fillId="0" borderId="0" xfId="7" applyFont="1" applyAlignment="1" applyProtection="1">
      <alignment vertical="center"/>
    </xf>
    <xf numFmtId="0" fontId="6" fillId="0" borderId="0" xfId="7" applyFont="1" applyProtection="1"/>
    <xf numFmtId="0" fontId="38" fillId="0" borderId="0" xfId="7" applyFont="1" applyFill="1" applyBorder="1" applyProtection="1"/>
    <xf numFmtId="0" fontId="43" fillId="0" borderId="2" xfId="7" applyFont="1" applyFill="1" applyBorder="1" applyAlignment="1" applyProtection="1">
      <alignment horizontal="center" vertical="center"/>
    </xf>
    <xf numFmtId="0" fontId="37" fillId="0" borderId="0" xfId="7" applyFont="1" applyBorder="1" applyProtection="1"/>
    <xf numFmtId="0" fontId="38" fillId="0" borderId="9" xfId="7" applyFont="1" applyFill="1" applyBorder="1" applyAlignment="1" applyProtection="1">
      <alignment vertical="center"/>
    </xf>
    <xf numFmtId="0" fontId="37" fillId="0" borderId="9" xfId="7" applyFont="1" applyFill="1" applyBorder="1" applyAlignment="1" applyProtection="1">
      <alignment vertical="center"/>
    </xf>
    <xf numFmtId="0" fontId="39" fillId="0" borderId="9" xfId="7" applyFont="1" applyFill="1" applyBorder="1" applyProtection="1"/>
    <xf numFmtId="0" fontId="1" fillId="0" borderId="1" xfId="7" applyFont="1" applyFill="1" applyBorder="1" applyAlignment="1" applyProtection="1"/>
    <xf numFmtId="0" fontId="9" fillId="0" borderId="11" xfId="7" applyFont="1" applyFill="1" applyBorder="1" applyProtection="1"/>
    <xf numFmtId="0" fontId="37" fillId="0" borderId="1" xfId="7" applyFont="1" applyBorder="1" applyAlignment="1" applyProtection="1"/>
    <xf numFmtId="0" fontId="9" fillId="0" borderId="16" xfId="7" applyFont="1" applyFill="1" applyBorder="1" applyAlignment="1" applyProtection="1"/>
    <xf numFmtId="0" fontId="2" fillId="0" borderId="16" xfId="7" applyFont="1" applyFill="1" applyBorder="1" applyAlignment="1" applyProtection="1">
      <alignment horizontal="center" vertical="center"/>
    </xf>
    <xf numFmtId="0" fontId="2" fillId="0" borderId="17" xfId="7" applyFont="1" applyFill="1" applyBorder="1" applyAlignment="1" applyProtection="1">
      <alignment horizontal="center" vertical="center"/>
    </xf>
    <xf numFmtId="0" fontId="1" fillId="0" borderId="18" xfId="7" applyFont="1" applyFill="1" applyBorder="1" applyAlignment="1" applyProtection="1">
      <alignment horizontal="center" vertical="center"/>
    </xf>
    <xf numFmtId="0" fontId="16" fillId="0" borderId="18" xfId="7" applyFont="1" applyFill="1" applyBorder="1" applyAlignment="1" applyProtection="1">
      <alignment horizontal="left" vertical="center"/>
    </xf>
    <xf numFmtId="0" fontId="2" fillId="0" borderId="17" xfId="7" applyFont="1" applyFill="1" applyBorder="1" applyAlignment="1" applyProtection="1"/>
    <xf numFmtId="0" fontId="1" fillId="0" borderId="19" xfId="7" applyFont="1" applyFill="1" applyBorder="1" applyAlignment="1" applyProtection="1"/>
    <xf numFmtId="0" fontId="37" fillId="0" borderId="13" xfId="7" applyFont="1" applyBorder="1" applyAlignment="1" applyProtection="1"/>
    <xf numFmtId="0" fontId="37" fillId="0" borderId="10" xfId="7" applyFont="1" applyBorder="1" applyAlignment="1" applyProtection="1">
      <alignment horizontal="center" vertical="top"/>
    </xf>
    <xf numFmtId="0" fontId="1" fillId="0" borderId="9" xfId="7" applyFont="1" applyFill="1" applyBorder="1" applyAlignment="1" applyProtection="1"/>
    <xf numFmtId="0" fontId="38" fillId="0" borderId="0" xfId="7" applyFont="1" applyBorder="1" applyProtection="1"/>
    <xf numFmtId="169" fontId="6" fillId="0" borderId="0" xfId="7" applyNumberFormat="1" applyFont="1" applyAlignment="1" applyProtection="1"/>
    <xf numFmtId="169" fontId="6" fillId="0" borderId="0" xfId="7" applyNumberFormat="1" applyAlignment="1" applyProtection="1"/>
    <xf numFmtId="169" fontId="6" fillId="0" borderId="20" xfId="7" applyNumberFormat="1" applyBorder="1" applyAlignment="1" applyProtection="1"/>
    <xf numFmtId="0" fontId="1" fillId="0" borderId="9" xfId="7" applyFont="1" applyBorder="1" applyAlignment="1" applyProtection="1">
      <alignment vertical="center"/>
    </xf>
    <xf numFmtId="0" fontId="1" fillId="0" borderId="0" xfId="0" applyFont="1" applyFill="1" applyBorder="1" applyAlignment="1"/>
    <xf numFmtId="0" fontId="1" fillId="9" borderId="0" xfId="0" applyFont="1" applyFill="1"/>
    <xf numFmtId="0" fontId="0" fillId="9" borderId="0" xfId="0" applyFill="1"/>
    <xf numFmtId="0" fontId="0" fillId="0" borderId="14" xfId="0" applyBorder="1" applyProtection="1"/>
    <xf numFmtId="0" fontId="0" fillId="0" borderId="20" xfId="0" applyBorder="1" applyProtection="1"/>
    <xf numFmtId="0" fontId="1" fillId="0" borderId="3" xfId="0" applyFont="1" applyBorder="1" applyAlignment="1" applyProtection="1"/>
    <xf numFmtId="0" fontId="0" fillId="0" borderId="0" xfId="0" applyAlignment="1" applyProtection="1">
      <alignment vertical="center"/>
    </xf>
    <xf numFmtId="0" fontId="0" fillId="9" borderId="0" xfId="0" applyFont="1" applyFill="1"/>
    <xf numFmtId="0" fontId="38" fillId="0" borderId="0" xfId="7" applyFont="1" applyBorder="1" applyAlignment="1" applyProtection="1">
      <alignment horizontal="left"/>
    </xf>
    <xf numFmtId="0" fontId="40" fillId="0" borderId="0" xfId="7" applyFont="1" applyFill="1" applyBorder="1" applyAlignment="1" applyProtection="1">
      <alignment horizontal="center"/>
    </xf>
    <xf numFmtId="0" fontId="40" fillId="0" borderId="9" xfId="7" applyFont="1" applyFill="1" applyBorder="1" applyAlignment="1" applyProtection="1">
      <alignment horizontal="center"/>
    </xf>
    <xf numFmtId="0" fontId="37" fillId="0" borderId="0" xfId="7" applyFont="1" applyFill="1" applyBorder="1" applyAlignment="1" applyProtection="1">
      <alignment horizontal="left"/>
    </xf>
    <xf numFmtId="0" fontId="41" fillId="0" borderId="0" xfId="7" applyFont="1" applyFill="1" applyBorder="1" applyAlignment="1" applyProtection="1">
      <alignment horizontal="left"/>
    </xf>
    <xf numFmtId="0" fontId="41" fillId="0" borderId="0" xfId="7" applyFont="1" applyFill="1" applyBorder="1" applyAlignment="1" applyProtection="1">
      <alignment horizontal="center"/>
    </xf>
    <xf numFmtId="0" fontId="37" fillId="0" borderId="1" xfId="7" applyFont="1" applyBorder="1" applyAlignment="1" applyProtection="1">
      <alignment horizontal="center"/>
    </xf>
    <xf numFmtId="0" fontId="37" fillId="0" borderId="0" xfId="7" applyFont="1" applyFill="1" applyBorder="1" applyAlignment="1" applyProtection="1">
      <alignment horizontal="center"/>
    </xf>
    <xf numFmtId="0" fontId="38" fillId="0" borderId="0" xfId="7" applyFont="1" applyBorder="1" applyAlignment="1" applyProtection="1">
      <alignment horizontal="left" vertical="center"/>
    </xf>
    <xf numFmtId="0" fontId="38" fillId="0" borderId="0" xfId="7" applyFont="1" applyFill="1" applyBorder="1" applyAlignment="1" applyProtection="1">
      <alignment horizontal="left" vertical="center"/>
    </xf>
    <xf numFmtId="0" fontId="37" fillId="0" borderId="10" xfId="7" applyFont="1" applyBorder="1" applyAlignment="1" applyProtection="1">
      <alignment horizontal="center"/>
    </xf>
    <xf numFmtId="0" fontId="38" fillId="0" borderId="9" xfId="7" applyFont="1" applyBorder="1" applyAlignment="1" applyProtection="1">
      <alignment horizontal="left" vertical="center"/>
    </xf>
    <xf numFmtId="0" fontId="9" fillId="0" borderId="1" xfId="7" applyFont="1" applyBorder="1" applyAlignment="1" applyProtection="1">
      <alignment horizontal="center"/>
    </xf>
    <xf numFmtId="0" fontId="1" fillId="0" borderId="0" xfId="7" applyFont="1" applyBorder="1" applyAlignment="1" applyProtection="1">
      <alignment horizontal="left" vertical="top"/>
    </xf>
    <xf numFmtId="0" fontId="6" fillId="0" borderId="0" xfId="7" applyFont="1" applyBorder="1" applyAlignment="1" applyProtection="1">
      <alignment horizontal="left"/>
    </xf>
    <xf numFmtId="43" fontId="1" fillId="0" borderId="2" xfId="1" applyFont="1" applyBorder="1" applyAlignment="1" applyProtection="1">
      <alignment vertical="center"/>
    </xf>
    <xf numFmtId="0" fontId="0" fillId="0" borderId="2" xfId="0" applyBorder="1" applyProtection="1"/>
    <xf numFmtId="0" fontId="0" fillId="0" borderId="0" xfId="0" applyFill="1" applyBorder="1" applyAlignment="1" applyProtection="1"/>
    <xf numFmtId="0" fontId="6" fillId="0" borderId="0" xfId="0" applyFont="1" applyFill="1" applyBorder="1" applyAlignment="1" applyProtection="1">
      <alignment vertical="center" wrapText="1"/>
    </xf>
    <xf numFmtId="0" fontId="6" fillId="0" borderId="0" xfId="0" applyFont="1" applyFill="1" applyBorder="1" applyAlignment="1" applyProtection="1"/>
    <xf numFmtId="0" fontId="43" fillId="7" borderId="0" xfId="7" applyFont="1" applyFill="1" applyBorder="1" applyAlignment="1" applyProtection="1">
      <alignment horizontal="center" vertical="center"/>
    </xf>
    <xf numFmtId="0" fontId="40" fillId="7" borderId="0" xfId="7" applyFont="1" applyFill="1" applyBorder="1" applyAlignment="1" applyProtection="1">
      <alignment horizontal="center"/>
      <protection locked="0"/>
    </xf>
    <xf numFmtId="0" fontId="43" fillId="7" borderId="0" xfId="7" applyFont="1" applyFill="1" applyBorder="1" applyAlignment="1" applyProtection="1">
      <alignment horizontal="center" vertical="center"/>
      <protection locked="0"/>
    </xf>
    <xf numFmtId="0" fontId="67" fillId="10" borderId="2" xfId="0" applyFont="1" applyFill="1" applyBorder="1" applyAlignment="1" applyProtection="1">
      <alignment wrapText="1"/>
    </xf>
    <xf numFmtId="43" fontId="67" fillId="10" borderId="2" xfId="1" applyFont="1" applyFill="1" applyBorder="1" applyProtection="1"/>
    <xf numFmtId="2" fontId="67" fillId="10" borderId="2" xfId="0" applyNumberFormat="1" applyFont="1" applyFill="1" applyBorder="1" applyProtection="1"/>
    <xf numFmtId="0" fontId="1" fillId="0" borderId="0" xfId="0" applyFont="1" applyProtection="1"/>
    <xf numFmtId="0" fontId="24" fillId="11" borderId="2" xfId="0" applyFont="1" applyFill="1" applyBorder="1" applyProtection="1"/>
    <xf numFmtId="9" fontId="6" fillId="0" borderId="2" xfId="0" applyNumberFormat="1" applyFont="1" applyFill="1" applyBorder="1" applyProtection="1"/>
    <xf numFmtId="0" fontId="0" fillId="0" borderId="5" xfId="0" applyBorder="1" applyProtection="1"/>
    <xf numFmtId="0" fontId="16" fillId="0" borderId="0" xfId="0" applyFont="1" applyBorder="1" applyAlignment="1" applyProtection="1"/>
    <xf numFmtId="171" fontId="11" fillId="0" borderId="2" xfId="1" applyNumberFormat="1" applyFont="1" applyBorder="1" applyProtection="1"/>
    <xf numFmtId="170" fontId="14" fillId="0" borderId="7" xfId="0" applyNumberFormat="1" applyFont="1" applyFill="1" applyBorder="1" applyProtection="1"/>
    <xf numFmtId="170" fontId="6" fillId="7" borderId="2" xfId="0" applyNumberFormat="1" applyFont="1" applyFill="1" applyBorder="1" applyAlignment="1" applyProtection="1">
      <alignment wrapText="1" shrinkToFit="1"/>
      <protection locked="0"/>
    </xf>
    <xf numFmtId="43" fontId="11" fillId="0" borderId="0" xfId="1" applyFont="1" applyBorder="1" applyProtection="1"/>
    <xf numFmtId="0" fontId="0" fillId="0" borderId="0" xfId="0" applyBorder="1"/>
    <xf numFmtId="0" fontId="14" fillId="0" borderId="6" xfId="0" applyFont="1" applyBorder="1" applyAlignment="1" applyProtection="1">
      <alignment horizontal="center"/>
    </xf>
    <xf numFmtId="0" fontId="14" fillId="0" borderId="21" xfId="0" applyFont="1" applyBorder="1" applyAlignment="1" applyProtection="1">
      <alignment horizontal="center"/>
    </xf>
    <xf numFmtId="0" fontId="11" fillId="7" borderId="2" xfId="0" applyFont="1" applyFill="1" applyBorder="1" applyAlignment="1" applyProtection="1">
      <alignment wrapText="1"/>
      <protection locked="0"/>
    </xf>
    <xf numFmtId="171" fontId="11" fillId="7" borderId="2" xfId="1" applyNumberFormat="1" applyFont="1" applyFill="1" applyBorder="1" applyProtection="1">
      <protection locked="0"/>
    </xf>
    <xf numFmtId="0" fontId="16" fillId="0" borderId="20" xfId="0" applyFont="1" applyBorder="1" applyAlignment="1" applyProtection="1"/>
    <xf numFmtId="0" fontId="0" fillId="4" borderId="2" xfId="0" applyFill="1" applyBorder="1" applyProtection="1"/>
    <xf numFmtId="0" fontId="0" fillId="0" borderId="2" xfId="0" applyBorder="1" applyAlignment="1" applyProtection="1">
      <alignment wrapText="1"/>
    </xf>
    <xf numFmtId="43" fontId="63" fillId="0" borderId="2" xfId="1" applyFont="1" applyBorder="1" applyProtection="1"/>
    <xf numFmtId="0" fontId="5" fillId="0" borderId="0" xfId="7" applyFont="1" applyProtection="1"/>
    <xf numFmtId="0" fontId="68" fillId="0" borderId="0" xfId="3" applyFont="1" applyProtection="1">
      <protection locked="0"/>
    </xf>
    <xf numFmtId="0" fontId="2" fillId="6" borderId="5" xfId="0" applyFont="1" applyFill="1" applyBorder="1" applyAlignment="1">
      <alignment horizontal="center"/>
    </xf>
    <xf numFmtId="0" fontId="2" fillId="6" borderId="2" xfId="0" applyFont="1" applyFill="1" applyBorder="1" applyAlignment="1">
      <alignment horizontal="center"/>
    </xf>
    <xf numFmtId="0" fontId="2" fillId="6" borderId="6" xfId="0" applyFont="1" applyFill="1" applyBorder="1" applyAlignment="1">
      <alignment horizontal="center"/>
    </xf>
    <xf numFmtId="0" fontId="2" fillId="6" borderId="22" xfId="0" applyFont="1" applyFill="1" applyBorder="1"/>
    <xf numFmtId="0" fontId="14" fillId="0" borderId="0" xfId="0" applyFont="1"/>
    <xf numFmtId="0" fontId="49" fillId="0" borderId="0" xfId="0" applyFont="1" applyAlignment="1">
      <alignment vertical="top"/>
    </xf>
    <xf numFmtId="0" fontId="49" fillId="0" borderId="0" xfId="0" applyFont="1" applyAlignment="1">
      <alignment horizontal="right" vertical="top"/>
    </xf>
    <xf numFmtId="0" fontId="0" fillId="0" borderId="0" xfId="0" applyAlignment="1">
      <alignment vertical="top"/>
    </xf>
    <xf numFmtId="0" fontId="14" fillId="0" borderId="23" xfId="0" applyFont="1" applyBorder="1"/>
    <xf numFmtId="0" fontId="14" fillId="0" borderId="22" xfId="0" applyFont="1" applyBorder="1"/>
    <xf numFmtId="0" fontId="14" fillId="0" borderId="24" xfId="0" applyFont="1" applyBorder="1"/>
    <xf numFmtId="0" fontId="14" fillId="0" borderId="18" xfId="0" applyFont="1" applyBorder="1"/>
    <xf numFmtId="0" fontId="14" fillId="0" borderId="21" xfId="0" applyFont="1" applyBorder="1"/>
    <xf numFmtId="0" fontId="14" fillId="0" borderId="7" xfId="0" applyFont="1" applyBorder="1"/>
    <xf numFmtId="0" fontId="14" fillId="0" borderId="22" xfId="0" applyFont="1" applyBorder="1" applyAlignment="1">
      <alignment horizontal="center"/>
    </xf>
    <xf numFmtId="0" fontId="14" fillId="0" borderId="7" xfId="0" applyFont="1" applyBorder="1" applyAlignment="1">
      <alignment horizontal="center"/>
    </xf>
    <xf numFmtId="0" fontId="14" fillId="6" borderId="18" xfId="0" applyFont="1" applyFill="1" applyBorder="1"/>
    <xf numFmtId="0" fontId="14" fillId="6" borderId="7" xfId="0" applyFont="1" applyFill="1" applyBorder="1"/>
    <xf numFmtId="0" fontId="14" fillId="0" borderId="2" xfId="0" applyFont="1" applyBorder="1"/>
    <xf numFmtId="0" fontId="14" fillId="6" borderId="22" xfId="0" applyFont="1" applyFill="1" applyBorder="1"/>
    <xf numFmtId="0" fontId="0" fillId="0" borderId="0" xfId="0" applyProtection="1">
      <protection locked="0"/>
    </xf>
    <xf numFmtId="0" fontId="1" fillId="0" borderId="0" xfId="0" applyFont="1" applyProtection="1">
      <protection locked="0"/>
    </xf>
    <xf numFmtId="0" fontId="2" fillId="0" borderId="0" xfId="0" applyFont="1" applyFill="1" applyBorder="1"/>
    <xf numFmtId="0" fontId="14" fillId="6" borderId="2" xfId="0" applyFont="1" applyFill="1" applyBorder="1"/>
    <xf numFmtId="0" fontId="1" fillId="0" borderId="2" xfId="0" applyFont="1" applyBorder="1" applyAlignment="1">
      <alignment horizontal="left" vertical="top"/>
    </xf>
    <xf numFmtId="0" fontId="2" fillId="6" borderId="2" xfId="0" applyFont="1" applyFill="1" applyBorder="1" applyAlignment="1">
      <alignment horizontal="center" vertical="center"/>
    </xf>
    <xf numFmtId="0" fontId="2" fillId="6" borderId="6" xfId="0" applyFont="1" applyFill="1" applyBorder="1" applyAlignment="1">
      <alignment horizontal="center" vertical="center"/>
    </xf>
    <xf numFmtId="0" fontId="1" fillId="6" borderId="2" xfId="0" applyFont="1" applyFill="1" applyBorder="1" applyAlignment="1">
      <alignment horizontal="right" vertical="center"/>
    </xf>
    <xf numFmtId="0" fontId="1" fillId="0" borderId="18" xfId="0" applyFont="1" applyBorder="1" applyAlignment="1">
      <alignment horizontal="left"/>
    </xf>
    <xf numFmtId="0" fontId="1" fillId="0" borderId="18" xfId="0" applyFont="1" applyBorder="1" applyAlignment="1">
      <alignment vertical="top" wrapText="1"/>
    </xf>
    <xf numFmtId="0" fontId="1" fillId="0" borderId="18" xfId="0" applyFont="1" applyBorder="1" applyAlignment="1">
      <alignment vertical="top"/>
    </xf>
    <xf numFmtId="0" fontId="1" fillId="0" borderId="7" xfId="0" applyFont="1" applyBorder="1" applyAlignment="1">
      <alignment horizontal="left"/>
    </xf>
    <xf numFmtId="0" fontId="1" fillId="0" borderId="22" xfId="0" applyFont="1" applyBorder="1" applyAlignment="1">
      <alignment vertical="top"/>
    </xf>
    <xf numFmtId="0" fontId="1" fillId="0" borderId="7" xfId="0" applyFont="1" applyBorder="1" applyAlignment="1">
      <alignment vertical="top"/>
    </xf>
    <xf numFmtId="0" fontId="49" fillId="0" borderId="0" xfId="0" applyFont="1" applyAlignment="1">
      <alignment vertical="top" wrapText="1"/>
    </xf>
    <xf numFmtId="0" fontId="49" fillId="0" borderId="0" xfId="0" applyFont="1" applyAlignment="1">
      <alignment horizontal="right" vertical="top" wrapText="1"/>
    </xf>
    <xf numFmtId="0" fontId="2" fillId="0" borderId="0" xfId="0" applyFont="1" applyBorder="1" applyAlignment="1">
      <alignment vertical="center"/>
    </xf>
    <xf numFmtId="0" fontId="1" fillId="0" borderId="0" xfId="0" applyFont="1" applyFill="1" applyBorder="1" applyAlignment="1">
      <alignmen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1" fillId="0" borderId="22" xfId="0" applyFont="1" applyBorder="1" applyAlignment="1">
      <alignment horizontal="left"/>
    </xf>
    <xf numFmtId="0" fontId="2" fillId="0" borderId="0" xfId="0" applyFont="1" applyAlignment="1">
      <alignment vertical="top"/>
    </xf>
    <xf numFmtId="0" fontId="2" fillId="0" borderId="14" xfId="0" applyFont="1" applyBorder="1" applyAlignment="1">
      <alignment horizontal="left" vertical="center"/>
    </xf>
    <xf numFmtId="0" fontId="2" fillId="0" borderId="25" xfId="0" applyFont="1" applyFill="1" applyBorder="1" applyAlignment="1">
      <alignment horizontal="left" vertical="top"/>
    </xf>
    <xf numFmtId="0" fontId="1" fillId="0" borderId="25" xfId="0" applyFont="1" applyFill="1" applyBorder="1" applyAlignment="1">
      <alignment vertical="center" wrapText="1"/>
    </xf>
    <xf numFmtId="0" fontId="2" fillId="0" borderId="5" xfId="0" applyFont="1" applyFill="1" applyBorder="1" applyAlignment="1">
      <alignment vertical="top" wrapText="1"/>
    </xf>
    <xf numFmtId="0" fontId="1" fillId="0" borderId="5" xfId="0" applyFont="1" applyFill="1" applyBorder="1" applyAlignment="1">
      <alignment vertical="top" wrapText="1"/>
    </xf>
    <xf numFmtId="0" fontId="2" fillId="0" borderId="8" xfId="0" applyFont="1" applyFill="1" applyBorder="1" applyAlignment="1">
      <alignment vertical="top"/>
    </xf>
    <xf numFmtId="0" fontId="1" fillId="0" borderId="8" xfId="0" applyFont="1" applyBorder="1"/>
    <xf numFmtId="0" fontId="2" fillId="0" borderId="25" xfId="0" applyFont="1" applyFill="1" applyBorder="1" applyAlignment="1">
      <alignment vertical="top"/>
    </xf>
    <xf numFmtId="0" fontId="1" fillId="0" borderId="25" xfId="0" applyFont="1" applyBorder="1"/>
    <xf numFmtId="0" fontId="2" fillId="0" borderId="8" xfId="0" applyFont="1" applyBorder="1" applyAlignment="1">
      <alignment vertical="top"/>
    </xf>
    <xf numFmtId="0" fontId="1" fillId="0" borderId="8" xfId="0" applyFont="1" applyFill="1" applyBorder="1"/>
    <xf numFmtId="0" fontId="1" fillId="0" borderId="0" xfId="0" applyFont="1" applyBorder="1" applyAlignment="1">
      <alignment horizontal="left" vertical="top"/>
    </xf>
    <xf numFmtId="4" fontId="60" fillId="0" borderId="0" xfId="8" applyNumberFormat="1" applyBorder="1" applyAlignment="1" applyProtection="1">
      <alignment vertical="top"/>
    </xf>
    <xf numFmtId="0" fontId="60" fillId="0" borderId="0" xfId="8" applyBorder="1" applyAlignment="1" applyProtection="1">
      <alignment vertical="top"/>
    </xf>
    <xf numFmtId="0" fontId="69" fillId="0" borderId="0" xfId="8" applyFont="1" applyAlignment="1" applyProtection="1">
      <alignment vertical="top"/>
    </xf>
    <xf numFmtId="4" fontId="69" fillId="0" borderId="0" xfId="8" applyNumberFormat="1" applyFont="1" applyAlignment="1" applyProtection="1">
      <alignment vertical="top"/>
    </xf>
    <xf numFmtId="4" fontId="69" fillId="0" borderId="2" xfId="8" applyNumberFormat="1" applyFont="1" applyFill="1" applyBorder="1" applyAlignment="1" applyProtection="1">
      <alignment vertical="top"/>
    </xf>
    <xf numFmtId="0" fontId="70" fillId="0" borderId="26" xfId="8" applyFont="1" applyBorder="1" applyAlignment="1" applyProtection="1">
      <alignment horizontal="right"/>
    </xf>
    <xf numFmtId="0" fontId="71" fillId="0" borderId="0" xfId="8" applyFont="1" applyAlignment="1" applyProtection="1">
      <alignment vertical="top"/>
    </xf>
    <xf numFmtId="0" fontId="1" fillId="0" borderId="0" xfId="7" applyFont="1" applyFill="1" applyBorder="1" applyAlignment="1" applyProtection="1">
      <alignment vertical="center"/>
    </xf>
    <xf numFmtId="43" fontId="6" fillId="0" borderId="0" xfId="1" applyFont="1" applyFill="1" applyBorder="1" applyAlignment="1" applyProtection="1">
      <alignment vertical="center"/>
      <protection locked="0"/>
    </xf>
    <xf numFmtId="0" fontId="9" fillId="0" borderId="1" xfId="7" applyFont="1" applyBorder="1" applyAlignment="1" applyProtection="1"/>
    <xf numFmtId="9" fontId="69" fillId="7" borderId="2" xfId="8" applyNumberFormat="1" applyFont="1" applyFill="1" applyBorder="1" applyAlignment="1" applyProtection="1">
      <alignment horizontal="center" vertical="top"/>
      <protection locked="0"/>
    </xf>
    <xf numFmtId="43" fontId="69" fillId="7" borderId="2" xfId="1" applyFont="1" applyFill="1" applyBorder="1" applyAlignment="1" applyProtection="1">
      <alignment vertical="top"/>
      <protection locked="0"/>
    </xf>
    <xf numFmtId="43" fontId="69" fillId="7" borderId="2" xfId="1" applyFont="1" applyFill="1" applyBorder="1" applyAlignment="1" applyProtection="1">
      <alignment horizontal="right" vertical="top"/>
      <protection locked="0"/>
    </xf>
    <xf numFmtId="43" fontId="60" fillId="7" borderId="2" xfId="1" applyFont="1" applyFill="1" applyBorder="1" applyAlignment="1" applyProtection="1">
      <alignment vertical="top"/>
      <protection locked="0"/>
    </xf>
    <xf numFmtId="1" fontId="69" fillId="7" borderId="2" xfId="8" applyNumberFormat="1" applyFont="1" applyFill="1" applyBorder="1" applyAlignment="1" applyProtection="1">
      <alignment horizontal="left" vertical="top"/>
      <protection locked="0"/>
    </xf>
    <xf numFmtId="1" fontId="60" fillId="7" borderId="2" xfId="8" applyNumberFormat="1" applyFill="1" applyBorder="1" applyAlignment="1" applyProtection="1">
      <alignment horizontal="center" vertical="top"/>
      <protection locked="0"/>
    </xf>
    <xf numFmtId="4" fontId="69" fillId="7" borderId="2" xfId="8" applyNumberFormat="1" applyFont="1" applyFill="1" applyBorder="1" applyAlignment="1" applyProtection="1">
      <alignment horizontal="left" vertical="top"/>
      <protection locked="0"/>
    </xf>
    <xf numFmtId="0" fontId="60" fillId="0" borderId="0" xfId="8" applyAlignment="1" applyProtection="1">
      <alignment vertical="top"/>
    </xf>
    <xf numFmtId="0" fontId="72" fillId="0" borderId="0" xfId="8" applyFont="1" applyBorder="1" applyAlignment="1" applyProtection="1">
      <alignment vertical="top"/>
    </xf>
    <xf numFmtId="4" fontId="73" fillId="6" borderId="2" xfId="8" applyNumberFormat="1" applyFont="1" applyFill="1" applyBorder="1" applyAlignment="1" applyProtection="1">
      <alignment vertical="top"/>
    </xf>
    <xf numFmtId="4" fontId="73" fillId="6" borderId="2" xfId="8" applyNumberFormat="1" applyFont="1" applyFill="1" applyBorder="1" applyAlignment="1" applyProtection="1">
      <alignment horizontal="center" vertical="top"/>
    </xf>
    <xf numFmtId="4" fontId="74" fillId="6" borderId="2" xfId="8" applyNumberFormat="1" applyFont="1" applyFill="1" applyBorder="1" applyAlignment="1" applyProtection="1">
      <alignment horizontal="center" vertical="top"/>
    </xf>
    <xf numFmtId="0" fontId="69" fillId="0" borderId="2" xfId="8" applyFont="1" applyBorder="1" applyAlignment="1" applyProtection="1">
      <alignment vertical="top"/>
    </xf>
    <xf numFmtId="43" fontId="73" fillId="0" borderId="2" xfId="1" applyFont="1" applyFill="1" applyBorder="1" applyAlignment="1" applyProtection="1">
      <alignment horizontal="right" vertical="top"/>
    </xf>
    <xf numFmtId="4" fontId="73" fillId="6" borderId="2" xfId="8" applyNumberFormat="1" applyFont="1" applyFill="1" applyBorder="1" applyAlignment="1" applyProtection="1">
      <alignment horizontal="right" vertical="top"/>
    </xf>
    <xf numFmtId="0" fontId="69" fillId="0" borderId="2" xfId="8" applyFont="1" applyBorder="1" applyAlignment="1" applyProtection="1">
      <alignment horizontal="left" vertical="top"/>
    </xf>
    <xf numFmtId="4" fontId="69" fillId="0" borderId="2" xfId="8" applyNumberFormat="1" applyFont="1" applyBorder="1" applyAlignment="1" applyProtection="1">
      <alignment horizontal="center" vertical="top"/>
    </xf>
    <xf numFmtId="0" fontId="74" fillId="0" borderId="0" xfId="8" applyFont="1" applyAlignment="1" applyProtection="1">
      <alignment vertical="top"/>
    </xf>
    <xf numFmtId="4" fontId="69" fillId="0" borderId="2" xfId="8" applyNumberFormat="1" applyFont="1" applyFill="1" applyBorder="1" applyAlignment="1" applyProtection="1">
      <alignment horizontal="center" vertical="top"/>
    </xf>
    <xf numFmtId="0" fontId="72" fillId="0" borderId="27" xfId="8" applyFont="1" applyFill="1" applyBorder="1" applyAlignment="1" applyProtection="1">
      <alignment horizontal="right"/>
    </xf>
    <xf numFmtId="0" fontId="60" fillId="0" borderId="0" xfId="8" applyAlignment="1" applyProtection="1"/>
    <xf numFmtId="0" fontId="70" fillId="0" borderId="16" xfId="8" applyFont="1" applyFill="1" applyBorder="1" applyAlignment="1" applyProtection="1">
      <alignment horizontal="right"/>
    </xf>
    <xf numFmtId="0" fontId="69" fillId="0" borderId="20" xfId="8" applyFont="1" applyBorder="1" applyAlignment="1" applyProtection="1">
      <alignment horizontal="right"/>
    </xf>
    <xf numFmtId="0" fontId="69" fillId="0" borderId="0" xfId="8" quotePrefix="1" applyFont="1" applyAlignment="1" applyProtection="1">
      <alignment vertical="top"/>
    </xf>
    <xf numFmtId="4" fontId="60" fillId="0" borderId="0" xfId="8" applyNumberFormat="1" applyAlignment="1" applyProtection="1">
      <alignment vertical="top"/>
    </xf>
    <xf numFmtId="0" fontId="71" fillId="7" borderId="5" xfId="8" applyFont="1" applyFill="1" applyBorder="1" applyAlignment="1" applyProtection="1">
      <alignment horizontal="center" vertical="top"/>
      <protection locked="0"/>
    </xf>
    <xf numFmtId="0" fontId="71" fillId="7" borderId="6" xfId="8" applyFont="1" applyFill="1" applyBorder="1" applyAlignment="1" applyProtection="1">
      <alignment horizontal="center" vertical="top"/>
      <protection locked="0"/>
    </xf>
    <xf numFmtId="43" fontId="69" fillId="0" borderId="2" xfId="1" applyFont="1" applyBorder="1" applyAlignment="1" applyProtection="1">
      <alignment vertical="top"/>
    </xf>
    <xf numFmtId="43" fontId="73" fillId="0" borderId="2" xfId="1" applyFont="1" applyFill="1" applyBorder="1" applyAlignment="1" applyProtection="1">
      <alignment vertical="top"/>
    </xf>
    <xf numFmtId="43" fontId="69" fillId="0" borderId="2" xfId="1" applyFont="1" applyFill="1" applyBorder="1" applyAlignment="1" applyProtection="1">
      <alignment vertical="top"/>
    </xf>
    <xf numFmtId="0" fontId="9" fillId="0" borderId="0" xfId="0" applyFont="1" applyFill="1" applyBorder="1" applyAlignment="1" applyProtection="1">
      <alignment vertical="center"/>
    </xf>
    <xf numFmtId="2" fontId="9" fillId="0" borderId="0" xfId="1" applyNumberFormat="1" applyFont="1" applyFill="1" applyBorder="1" applyAlignment="1" applyProtection="1">
      <alignment vertical="center"/>
    </xf>
    <xf numFmtId="2" fontId="9" fillId="0" borderId="0" xfId="1"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2" fillId="0" borderId="0" xfId="0" applyFont="1" applyFill="1" applyProtection="1"/>
    <xf numFmtId="0" fontId="0" fillId="0" borderId="0" xfId="0" applyFill="1" applyProtection="1"/>
    <xf numFmtId="0" fontId="6" fillId="0" borderId="0" xfId="0" applyFont="1" applyFill="1" applyBorder="1" applyAlignment="1" applyProtection="1">
      <alignment horizontal="center" vertical="center"/>
    </xf>
    <xf numFmtId="0" fontId="75"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vertical="center"/>
    </xf>
    <xf numFmtId="0" fontId="0" fillId="0" borderId="20" xfId="0" applyFill="1" applyBorder="1" applyProtection="1"/>
    <xf numFmtId="1" fontId="6" fillId="0" borderId="0" xfId="0" applyNumberFormat="1" applyFont="1" applyFill="1" applyBorder="1" applyAlignment="1" applyProtection="1">
      <alignment vertical="center"/>
    </xf>
    <xf numFmtId="43" fontId="9" fillId="0" borderId="0" xfId="1" applyFont="1" applyFill="1" applyBorder="1" applyAlignment="1" applyProtection="1">
      <alignment vertical="center"/>
    </xf>
    <xf numFmtId="0" fontId="1" fillId="0" borderId="20" xfId="6" applyFont="1" applyFill="1" applyBorder="1" applyAlignment="1" applyProtection="1"/>
    <xf numFmtId="0" fontId="1" fillId="0" borderId="20" xfId="6" applyFont="1" applyFill="1" applyBorder="1" applyAlignment="1" applyProtection="1">
      <alignment horizontal="center"/>
    </xf>
    <xf numFmtId="0" fontId="1" fillId="0" borderId="20" xfId="6" applyBorder="1"/>
    <xf numFmtId="0" fontId="1" fillId="0" borderId="20" xfId="6" applyFont="1" applyFill="1" applyBorder="1" applyAlignment="1" applyProtection="1">
      <alignment horizontal="right"/>
    </xf>
    <xf numFmtId="0" fontId="1" fillId="0" borderId="0" xfId="6"/>
    <xf numFmtId="0" fontId="5" fillId="0" borderId="0" xfId="6" applyFont="1" applyFill="1" applyBorder="1" applyAlignment="1" applyProtection="1">
      <alignment horizontal="left"/>
    </xf>
    <xf numFmtId="0" fontId="5" fillId="0" borderId="0" xfId="6" applyFont="1" applyFill="1" applyBorder="1" applyProtection="1"/>
    <xf numFmtId="0" fontId="16" fillId="0" borderId="0" xfId="6" applyFont="1"/>
    <xf numFmtId="43" fontId="16" fillId="0" borderId="0" xfId="1" applyFont="1"/>
    <xf numFmtId="0" fontId="56" fillId="0" borderId="0" xfId="6" applyFont="1" applyAlignment="1" applyProtection="1">
      <alignment horizontal="left"/>
    </xf>
    <xf numFmtId="0" fontId="56" fillId="0" borderId="0" xfId="6" applyFont="1" applyProtection="1"/>
    <xf numFmtId="0" fontId="1" fillId="0" borderId="0" xfId="6" applyBorder="1"/>
    <xf numFmtId="43" fontId="0" fillId="0" borderId="0" xfId="1" applyFont="1" applyProtection="1">
      <protection locked="0"/>
    </xf>
    <xf numFmtId="0" fontId="1" fillId="0" borderId="0" xfId="6" applyProtection="1">
      <protection locked="0"/>
    </xf>
    <xf numFmtId="0" fontId="18" fillId="0" borderId="0" xfId="6" applyFont="1" applyFill="1" applyAlignment="1" applyProtection="1">
      <alignment horizontal="left"/>
    </xf>
    <xf numFmtId="0" fontId="56" fillId="0" borderId="0" xfId="6" applyFont="1" applyFill="1" applyProtection="1"/>
    <xf numFmtId="0" fontId="1" fillId="0" borderId="0" xfId="6" applyFill="1"/>
    <xf numFmtId="0" fontId="1" fillId="0" borderId="0" xfId="6" applyFill="1" applyBorder="1"/>
    <xf numFmtId="43" fontId="0" fillId="0" borderId="0" xfId="1" applyFont="1" applyFill="1" applyProtection="1">
      <protection locked="0"/>
    </xf>
    <xf numFmtId="0" fontId="1" fillId="0" borderId="0" xfId="6" applyFill="1" applyProtection="1">
      <protection locked="0"/>
    </xf>
    <xf numFmtId="0" fontId="12" fillId="7" borderId="5" xfId="6" applyFont="1" applyFill="1" applyBorder="1" applyAlignment="1" applyProtection="1">
      <alignment horizontal="left"/>
      <protection locked="0"/>
    </xf>
    <xf numFmtId="0" fontId="1" fillId="0" borderId="5" xfId="6" applyFont="1" applyFill="1" applyBorder="1" applyAlignment="1">
      <alignment horizontal="right"/>
    </xf>
    <xf numFmtId="0" fontId="2" fillId="0" borderId="6" xfId="6" applyFont="1" applyFill="1" applyBorder="1"/>
    <xf numFmtId="0" fontId="1" fillId="0" borderId="0" xfId="6" applyFont="1" applyFill="1" applyBorder="1"/>
    <xf numFmtId="0" fontId="1" fillId="0" borderId="0" xfId="6" applyFont="1" applyFill="1" applyProtection="1">
      <protection locked="0"/>
    </xf>
    <xf numFmtId="0" fontId="1" fillId="0" borderId="0" xfId="6" applyFont="1" applyFill="1"/>
    <xf numFmtId="0" fontId="7" fillId="0" borderId="0" xfId="6" applyFont="1" applyBorder="1" applyAlignment="1" applyProtection="1">
      <alignment horizontal="left"/>
    </xf>
    <xf numFmtId="168" fontId="76" fillId="0" borderId="0" xfId="6" applyNumberFormat="1" applyFont="1" applyProtection="1"/>
    <xf numFmtId="0" fontId="76" fillId="0" borderId="0" xfId="6" applyFont="1" applyProtection="1"/>
    <xf numFmtId="0" fontId="13" fillId="0" borderId="0" xfId="6" applyFont="1" applyProtection="1">
      <protection locked="0"/>
    </xf>
    <xf numFmtId="0" fontId="2" fillId="6" borderId="5" xfId="6" applyFont="1" applyFill="1" applyBorder="1"/>
    <xf numFmtId="43" fontId="2" fillId="6" borderId="6" xfId="1" applyFont="1" applyFill="1" applyBorder="1"/>
    <xf numFmtId="43" fontId="0" fillId="0" borderId="0" xfId="1" applyFont="1" applyBorder="1"/>
    <xf numFmtId="0" fontId="77" fillId="7" borderId="7" xfId="6" applyFont="1" applyFill="1" applyBorder="1" applyProtection="1">
      <protection locked="0"/>
    </xf>
    <xf numFmtId="43" fontId="0" fillId="0" borderId="7" xfId="1" applyFont="1" applyBorder="1" applyProtection="1"/>
    <xf numFmtId="0" fontId="78" fillId="7" borderId="2" xfId="6" applyFont="1" applyFill="1" applyBorder="1" applyProtection="1">
      <protection locked="0"/>
    </xf>
    <xf numFmtId="0" fontId="77" fillId="7" borderId="2" xfId="6" applyFont="1" applyFill="1" applyBorder="1" applyProtection="1">
      <protection locked="0"/>
    </xf>
    <xf numFmtId="43" fontId="1" fillId="0" borderId="2" xfId="1" applyFont="1" applyBorder="1" applyProtection="1"/>
    <xf numFmtId="9" fontId="67" fillId="7" borderId="2" xfId="1" applyNumberFormat="1" applyFont="1" applyFill="1" applyBorder="1" applyProtection="1">
      <protection locked="0"/>
    </xf>
    <xf numFmtId="0" fontId="3" fillId="0" borderId="2" xfId="6" applyFont="1" applyBorder="1" applyProtection="1">
      <protection locked="0"/>
    </xf>
    <xf numFmtId="0" fontId="3" fillId="0" borderId="0" xfId="6" applyFont="1" applyBorder="1"/>
    <xf numFmtId="43" fontId="3" fillId="0" borderId="0" xfId="1" applyFont="1" applyBorder="1"/>
    <xf numFmtId="0" fontId="3" fillId="0" borderId="0" xfId="6" applyFont="1"/>
    <xf numFmtId="0" fontId="17" fillId="7" borderId="2" xfId="6" applyFont="1" applyFill="1" applyBorder="1" applyProtection="1">
      <protection locked="0"/>
    </xf>
    <xf numFmtId="43" fontId="78" fillId="7" borderId="2" xfId="1" applyFont="1" applyFill="1" applyBorder="1" applyProtection="1">
      <protection locked="0"/>
    </xf>
    <xf numFmtId="43" fontId="77" fillId="7" borderId="2" xfId="1" applyFont="1" applyFill="1" applyBorder="1" applyProtection="1">
      <protection locked="0"/>
    </xf>
    <xf numFmtId="0" fontId="2" fillId="0" borderId="2" xfId="6" applyFont="1" applyBorder="1" applyProtection="1"/>
    <xf numFmtId="0" fontId="2" fillId="0" borderId="0" xfId="6" applyFont="1"/>
    <xf numFmtId="43" fontId="2" fillId="0" borderId="7" xfId="1" applyFont="1" applyBorder="1" applyProtection="1"/>
    <xf numFmtId="0" fontId="2" fillId="0" borderId="3" xfId="6" applyFont="1" applyBorder="1" applyProtection="1"/>
    <xf numFmtId="43" fontId="2" fillId="0" borderId="5" xfId="1" applyFont="1" applyBorder="1" applyProtection="1"/>
    <xf numFmtId="0" fontId="2" fillId="6" borderId="5" xfId="6" applyFont="1" applyFill="1" applyBorder="1" applyProtection="1"/>
    <xf numFmtId="43" fontId="2" fillId="6" borderId="6" xfId="1" applyFont="1" applyFill="1" applyBorder="1" applyProtection="1"/>
    <xf numFmtId="0" fontId="79" fillId="7" borderId="2" xfId="6" applyFont="1" applyFill="1" applyBorder="1" applyProtection="1">
      <protection locked="0"/>
    </xf>
    <xf numFmtId="43" fontId="67" fillId="7" borderId="2" xfId="1" applyFont="1" applyFill="1" applyBorder="1" applyProtection="1">
      <protection locked="0"/>
    </xf>
    <xf numFmtId="43" fontId="1" fillId="0" borderId="2" xfId="1" applyFont="1" applyFill="1" applyBorder="1" applyProtection="1"/>
    <xf numFmtId="0" fontId="4" fillId="0" borderId="2" xfId="6" applyFont="1" applyBorder="1" applyProtection="1"/>
    <xf numFmtId="0" fontId="4" fillId="0" borderId="0" xfId="6" applyFont="1"/>
    <xf numFmtId="0" fontId="77" fillId="7" borderId="2" xfId="1" applyNumberFormat="1" applyFont="1" applyFill="1" applyBorder="1" applyAlignment="1" applyProtection="1">
      <alignment horizontal="center"/>
      <protection locked="0"/>
    </xf>
    <xf numFmtId="0" fontId="1" fillId="0" borderId="0" xfId="6" applyFont="1"/>
    <xf numFmtId="0" fontId="2" fillId="0" borderId="22" xfId="6" applyFont="1" applyBorder="1" applyProtection="1"/>
    <xf numFmtId="43" fontId="2" fillId="0" borderId="22" xfId="1" applyFont="1" applyBorder="1" applyProtection="1"/>
    <xf numFmtId="43" fontId="1" fillId="0" borderId="0" xfId="6" applyNumberFormat="1"/>
    <xf numFmtId="43" fontId="2" fillId="0" borderId="0" xfId="1" applyFont="1" applyBorder="1"/>
    <xf numFmtId="0" fontId="2" fillId="0" borderId="0" xfId="6" applyFont="1" applyBorder="1" applyAlignment="1">
      <alignment horizontal="left"/>
    </xf>
    <xf numFmtId="0" fontId="2" fillId="0" borderId="0" xfId="6" applyFont="1" applyBorder="1" applyProtection="1"/>
    <xf numFmtId="43" fontId="2" fillId="0" borderId="0" xfId="1" applyFont="1" applyBorder="1" applyProtection="1"/>
    <xf numFmtId="0" fontId="2" fillId="6" borderId="4" xfId="6" applyFont="1" applyFill="1" applyBorder="1" applyAlignment="1">
      <alignment horizontal="left"/>
    </xf>
    <xf numFmtId="43" fontId="2" fillId="6" borderId="23" xfId="1" applyFont="1" applyFill="1" applyBorder="1" applyProtection="1"/>
    <xf numFmtId="0" fontId="3" fillId="0" borderId="7" xfId="6" applyFont="1" applyBorder="1" applyProtection="1"/>
    <xf numFmtId="43" fontId="2" fillId="7" borderId="2" xfId="1" applyFont="1" applyFill="1" applyBorder="1" applyAlignment="1" applyProtection="1">
      <protection locked="0"/>
    </xf>
    <xf numFmtId="0" fontId="2" fillId="7" borderId="7" xfId="6" applyFont="1" applyFill="1" applyBorder="1" applyProtection="1">
      <protection locked="0"/>
    </xf>
    <xf numFmtId="0" fontId="1" fillId="0" borderId="5" xfId="6" applyBorder="1" applyAlignment="1"/>
    <xf numFmtId="43" fontId="0" fillId="0" borderId="5" xfId="1" applyFont="1" applyBorder="1" applyProtection="1"/>
    <xf numFmtId="43" fontId="2" fillId="6" borderId="7" xfId="1" applyFont="1" applyFill="1" applyBorder="1" applyProtection="1"/>
    <xf numFmtId="0" fontId="1" fillId="0" borderId="5" xfId="6" applyFont="1" applyBorder="1" applyProtection="1"/>
    <xf numFmtId="0" fontId="2" fillId="6" borderId="6" xfId="6" applyFont="1" applyFill="1" applyBorder="1" applyAlignment="1" applyProtection="1">
      <alignment horizontal="center"/>
    </xf>
    <xf numFmtId="0" fontId="1" fillId="0" borderId="20" xfId="6" applyBorder="1" applyAlignment="1"/>
    <xf numFmtId="43" fontId="0" fillId="0" borderId="20" xfId="1" applyFont="1" applyBorder="1" applyProtection="1"/>
    <xf numFmtId="0" fontId="1" fillId="0" borderId="20" xfId="6" applyFont="1" applyBorder="1" applyProtection="1"/>
    <xf numFmtId="0" fontId="1" fillId="0" borderId="0" xfId="6" applyFont="1" applyAlignment="1">
      <alignment horizontal="left"/>
    </xf>
    <xf numFmtId="0" fontId="1" fillId="0" borderId="0" xfId="6" applyAlignment="1">
      <alignment horizontal="left"/>
    </xf>
    <xf numFmtId="0" fontId="10" fillId="0" borderId="0" xfId="6" applyFont="1" applyBorder="1" applyAlignment="1">
      <alignment horizontal="left"/>
    </xf>
    <xf numFmtId="0" fontId="10" fillId="0" borderId="0" xfId="6" applyFont="1" applyBorder="1"/>
    <xf numFmtId="43" fontId="10" fillId="0" borderId="0" xfId="1" applyFont="1" applyBorder="1"/>
    <xf numFmtId="0" fontId="1" fillId="8" borderId="0" xfId="6" applyFill="1"/>
    <xf numFmtId="0" fontId="1" fillId="8" borderId="0" xfId="6" applyFont="1" applyFill="1"/>
    <xf numFmtId="0" fontId="8" fillId="0" borderId="0" xfId="6" applyFont="1" applyFill="1" applyBorder="1" applyAlignment="1" applyProtection="1"/>
    <xf numFmtId="0" fontId="8" fillId="0" borderId="0" xfId="6" applyFont="1" applyFill="1" applyBorder="1" applyAlignment="1" applyProtection="1">
      <alignment textRotation="90" wrapText="1"/>
    </xf>
    <xf numFmtId="0" fontId="8" fillId="8" borderId="0" xfId="6" applyFont="1" applyFill="1" applyBorder="1" applyAlignment="1" applyProtection="1">
      <alignment textRotation="90" wrapText="1"/>
    </xf>
    <xf numFmtId="0" fontId="8" fillId="0" borderId="0" xfId="6" applyFont="1" applyBorder="1" applyAlignment="1" applyProtection="1"/>
    <xf numFmtId="0" fontId="8" fillId="0" borderId="0" xfId="6" applyFont="1" applyBorder="1" applyAlignment="1" applyProtection="1">
      <alignment textRotation="90" wrapText="1"/>
    </xf>
    <xf numFmtId="0" fontId="1" fillId="8" borderId="0" xfId="6" applyFill="1" applyAlignment="1">
      <alignment horizontal="left"/>
    </xf>
    <xf numFmtId="0" fontId="1" fillId="0" borderId="0" xfId="6" applyFill="1" applyBorder="1" applyAlignment="1"/>
    <xf numFmtId="0" fontId="2" fillId="8" borderId="0" xfId="6" applyFont="1" applyFill="1" applyBorder="1" applyAlignment="1" applyProtection="1">
      <alignment horizontal="center"/>
    </xf>
    <xf numFmtId="0" fontId="1" fillId="8" borderId="0" xfId="6" applyFont="1" applyFill="1" applyBorder="1" applyAlignment="1" applyProtection="1"/>
    <xf numFmtId="43" fontId="1" fillId="8" borderId="0" xfId="1" applyFont="1" applyFill="1" applyBorder="1" applyAlignment="1" applyProtection="1"/>
    <xf numFmtId="43" fontId="1" fillId="8" borderId="0" xfId="1" applyFont="1" applyFill="1" applyAlignment="1"/>
    <xf numFmtId="43" fontId="1" fillId="8" borderId="0" xfId="1" applyFont="1" applyFill="1"/>
    <xf numFmtId="0" fontId="1" fillId="8" borderId="0" xfId="6" applyFont="1" applyFill="1" applyBorder="1" applyAlignment="1" applyProtection="1">
      <alignment horizontal="left"/>
    </xf>
    <xf numFmtId="165" fontId="1" fillId="0" borderId="0" xfId="1" applyNumberFormat="1" applyFont="1" applyFill="1"/>
    <xf numFmtId="43" fontId="1" fillId="0" borderId="0" xfId="1" applyFont="1" applyFill="1"/>
    <xf numFmtId="0" fontId="1" fillId="0" borderId="0" xfId="6" applyFont="1" applyFill="1" applyBorder="1" applyAlignment="1" applyProtection="1"/>
    <xf numFmtId="43" fontId="4" fillId="6" borderId="2" xfId="1" applyFont="1" applyFill="1" applyBorder="1" applyProtection="1"/>
    <xf numFmtId="43" fontId="4" fillId="0" borderId="7" xfId="1" applyFont="1" applyBorder="1" applyProtection="1"/>
    <xf numFmtId="165" fontId="2" fillId="0" borderId="7" xfId="1" applyNumberFormat="1" applyFont="1" applyFill="1" applyBorder="1" applyProtection="1"/>
    <xf numFmtId="43" fontId="58" fillId="6" borderId="2" xfId="1" applyFont="1" applyFill="1" applyBorder="1" applyProtection="1"/>
    <xf numFmtId="0" fontId="58" fillId="0" borderId="0" xfId="6" applyFont="1" applyFill="1"/>
    <xf numFmtId="0" fontId="18" fillId="9" borderId="4" xfId="6" applyFont="1" applyFill="1" applyBorder="1" applyAlignment="1" applyProtection="1">
      <alignment horizontal="left"/>
    </xf>
    <xf numFmtId="0" fontId="56" fillId="9" borderId="5" xfId="6" applyFont="1" applyFill="1" applyBorder="1" applyProtection="1"/>
    <xf numFmtId="43" fontId="66" fillId="9" borderId="5" xfId="1" applyFont="1" applyFill="1" applyBorder="1"/>
    <xf numFmtId="0" fontId="1" fillId="9" borderId="6" xfId="6" applyFill="1" applyBorder="1"/>
    <xf numFmtId="10" fontId="12" fillId="0" borderId="0" xfId="4" applyNumberFormat="1" applyFont="1" applyFill="1" applyBorder="1" applyProtection="1"/>
    <xf numFmtId="0" fontId="2" fillId="0" borderId="0" xfId="6" applyFont="1" applyFill="1" applyBorder="1" applyAlignment="1"/>
    <xf numFmtId="43" fontId="0" fillId="0" borderId="7" xfId="1" applyFont="1" applyFill="1" applyBorder="1" applyProtection="1"/>
    <xf numFmtId="43" fontId="1" fillId="0" borderId="2" xfId="1" applyFont="1" applyFill="1" applyBorder="1" applyAlignment="1" applyProtection="1">
      <alignment wrapText="1"/>
    </xf>
    <xf numFmtId="164" fontId="0" fillId="0" borderId="2" xfId="1" applyNumberFormat="1" applyFont="1" applyFill="1" applyBorder="1" applyAlignment="1" applyProtection="1"/>
    <xf numFmtId="43" fontId="0" fillId="0" borderId="2" xfId="1" applyFont="1" applyFill="1" applyBorder="1" applyProtection="1"/>
    <xf numFmtId="43" fontId="67" fillId="0" borderId="2" xfId="1" applyFont="1" applyFill="1" applyBorder="1" applyProtection="1"/>
    <xf numFmtId="43" fontId="2" fillId="0" borderId="7" xfId="1" applyFont="1" applyFill="1" applyBorder="1" applyProtection="1"/>
    <xf numFmtId="43" fontId="76" fillId="0" borderId="2" xfId="1" applyFont="1" applyFill="1" applyBorder="1" applyProtection="1"/>
    <xf numFmtId="0" fontId="10" fillId="0" borderId="6" xfId="6" applyFont="1" applyFill="1" applyBorder="1" applyAlignment="1" applyProtection="1">
      <alignment horizontal="left"/>
    </xf>
    <xf numFmtId="4" fontId="9" fillId="0" borderId="0" xfId="7" applyNumberFormat="1" applyFont="1" applyFill="1" applyBorder="1" applyAlignment="1" applyProtection="1">
      <alignment vertical="center"/>
    </xf>
    <xf numFmtId="4" fontId="9" fillId="0" borderId="0" xfId="7" applyNumberFormat="1" applyFont="1" applyBorder="1" applyAlignment="1" applyProtection="1">
      <alignment vertical="center"/>
    </xf>
    <xf numFmtId="0" fontId="1" fillId="0" borderId="0" xfId="7" quotePrefix="1" applyFont="1" applyFill="1" applyBorder="1" applyAlignment="1" applyProtection="1">
      <alignment vertical="top" wrapText="1"/>
    </xf>
    <xf numFmtId="0" fontId="6" fillId="0" borderId="0" xfId="0" applyFont="1" applyBorder="1"/>
    <xf numFmtId="0" fontId="6" fillId="0" borderId="0" xfId="0" applyFont="1"/>
    <xf numFmtId="0" fontId="1" fillId="0" borderId="0" xfId="0" applyFont="1" applyBorder="1"/>
    <xf numFmtId="9" fontId="0" fillId="0" borderId="0" xfId="0" applyNumberFormat="1"/>
    <xf numFmtId="9" fontId="1" fillId="0" borderId="0" xfId="6" applyNumberFormat="1"/>
    <xf numFmtId="0" fontId="6" fillId="0" borderId="0" xfId="7" applyAlignment="1" applyProtection="1">
      <alignment wrapText="1"/>
    </xf>
    <xf numFmtId="0" fontId="78" fillId="7" borderId="5" xfId="7" applyFont="1" applyFill="1" applyBorder="1" applyAlignment="1" applyProtection="1">
      <alignment horizontal="center"/>
      <protection locked="0"/>
    </xf>
    <xf numFmtId="49" fontId="6" fillId="0" borderId="0" xfId="0" applyNumberFormat="1" applyFont="1" applyAlignment="1" applyProtection="1">
      <alignment horizontal="left" vertical="top" wrapText="1"/>
      <protection locked="0"/>
    </xf>
    <xf numFmtId="49" fontId="9" fillId="0" borderId="0" xfId="0" applyNumberFormat="1" applyFont="1" applyAlignment="1" applyProtection="1">
      <alignment horizontal="left" vertical="top" wrapText="1"/>
      <protection locked="0"/>
    </xf>
    <xf numFmtId="0" fontId="0" fillId="0" borderId="0" xfId="0" applyAlignment="1" applyProtection="1">
      <alignment horizontal="left" vertical="top"/>
    </xf>
    <xf numFmtId="0" fontId="54" fillId="0" borderId="0" xfId="0" applyNumberFormat="1" applyFont="1" applyBorder="1" applyAlignment="1" applyProtection="1">
      <alignment horizontal="center" vertical="top"/>
    </xf>
    <xf numFmtId="49" fontId="54" fillId="0" borderId="0" xfId="0" applyNumberFormat="1" applyFont="1" applyBorder="1" applyAlignment="1" applyProtection="1">
      <alignment horizontal="center" vertical="top" wrapText="1"/>
    </xf>
    <xf numFmtId="49" fontId="9" fillId="0" borderId="0" xfId="0" applyNumberFormat="1" applyFont="1" applyAlignment="1" applyProtection="1">
      <alignment horizontal="left" vertical="top"/>
    </xf>
    <xf numFmtId="0" fontId="2" fillId="0" borderId="0" xfId="0" applyFont="1" applyAlignment="1" applyProtection="1">
      <alignment horizontal="left" vertical="top"/>
    </xf>
    <xf numFmtId="49" fontId="2" fillId="0" borderId="0" xfId="0" applyNumberFormat="1" applyFont="1" applyAlignment="1" applyProtection="1">
      <alignment horizontal="left" vertical="top"/>
    </xf>
    <xf numFmtId="49" fontId="6" fillId="0" borderId="0" xfId="0" applyNumberFormat="1" applyFont="1" applyAlignment="1" applyProtection="1">
      <alignment horizontal="center" vertical="top" wrapText="1"/>
    </xf>
    <xf numFmtId="49" fontId="9" fillId="0" borderId="0" xfId="0" applyNumberFormat="1" applyFont="1" applyAlignment="1" applyProtection="1">
      <alignment horizontal="left" vertical="top" wrapText="1"/>
    </xf>
    <xf numFmtId="49" fontId="0" fillId="0" borderId="0" xfId="0" applyNumberFormat="1" applyAlignment="1" applyProtection="1">
      <alignment horizontal="left" vertical="top"/>
    </xf>
    <xf numFmtId="0" fontId="0" fillId="0" borderId="0" xfId="0" applyAlignment="1" applyProtection="1">
      <alignment horizontal="left" vertical="top" wrapText="1"/>
    </xf>
    <xf numFmtId="49" fontId="9" fillId="0" borderId="0" xfId="0" applyNumberFormat="1" applyFont="1" applyProtection="1"/>
    <xf numFmtId="0" fontId="9" fillId="0" borderId="0" xfId="0" applyFont="1" applyAlignment="1" applyProtection="1">
      <alignment horizontal="left" vertical="top"/>
    </xf>
    <xf numFmtId="49" fontId="0" fillId="0" borderId="0" xfId="0" applyNumberFormat="1" applyProtection="1"/>
    <xf numFmtId="49" fontId="2" fillId="0" borderId="0" xfId="0" applyNumberFormat="1" applyFont="1" applyProtection="1"/>
    <xf numFmtId="0" fontId="6" fillId="0" borderId="0" xfId="0" applyFont="1" applyAlignment="1" applyProtection="1">
      <alignment wrapText="1"/>
    </xf>
    <xf numFmtId="165" fontId="6" fillId="0" borderId="0" xfId="1" applyNumberFormat="1" applyFont="1" applyProtection="1"/>
    <xf numFmtId="0" fontId="2" fillId="0" borderId="0" xfId="6" applyFont="1" applyFill="1" applyAlignment="1"/>
    <xf numFmtId="165" fontId="1" fillId="8" borderId="0" xfId="1" applyNumberFormat="1" applyFont="1" applyFill="1"/>
    <xf numFmtId="165" fontId="66" fillId="0" borderId="0" xfId="1" applyNumberFormat="1" applyFont="1" applyFill="1"/>
    <xf numFmtId="43" fontId="66" fillId="0" borderId="0" xfId="1" applyFont="1" applyFill="1"/>
    <xf numFmtId="43" fontId="15" fillId="6" borderId="4" xfId="1" applyFont="1" applyFill="1" applyBorder="1" applyAlignment="1" applyProtection="1"/>
    <xf numFmtId="9" fontId="15" fillId="6" borderId="2" xfId="0" applyNumberFormat="1" applyFont="1" applyFill="1" applyBorder="1" applyProtection="1"/>
    <xf numFmtId="2" fontId="14" fillId="15" borderId="7" xfId="0" applyNumberFormat="1" applyFont="1" applyFill="1" applyBorder="1" applyProtection="1"/>
    <xf numFmtId="9" fontId="15" fillId="6" borderId="22" xfId="0" applyNumberFormat="1" applyFont="1" applyFill="1" applyBorder="1" applyProtection="1"/>
    <xf numFmtId="0" fontId="24" fillId="11" borderId="7" xfId="0" applyFont="1" applyFill="1" applyBorder="1" applyProtection="1"/>
    <xf numFmtId="0" fontId="87" fillId="15" borderId="27" xfId="6" applyFont="1" applyFill="1" applyBorder="1" applyProtection="1"/>
    <xf numFmtId="43" fontId="15" fillId="3" borderId="3" xfId="1" applyFont="1" applyFill="1" applyBorder="1" applyAlignment="1" applyProtection="1"/>
    <xf numFmtId="0" fontId="87" fillId="15" borderId="3" xfId="6" applyFont="1" applyFill="1" applyBorder="1" applyProtection="1"/>
    <xf numFmtId="43" fontId="15" fillId="3" borderId="23" xfId="1" applyFont="1" applyFill="1" applyBorder="1" applyAlignment="1" applyProtection="1"/>
    <xf numFmtId="43" fontId="15" fillId="6" borderId="2" xfId="1" applyFont="1" applyFill="1" applyBorder="1" applyAlignment="1" applyProtection="1"/>
    <xf numFmtId="43" fontId="15" fillId="6" borderId="2" xfId="1" applyFont="1" applyFill="1" applyBorder="1" applyAlignment="1" applyProtection="1">
      <alignment horizontal="right"/>
    </xf>
    <xf numFmtId="43" fontId="15" fillId="6" borderId="4" xfId="1" applyFont="1" applyFill="1" applyBorder="1" applyAlignment="1" applyProtection="1">
      <alignment horizontal="right"/>
    </xf>
    <xf numFmtId="43" fontId="1" fillId="0" borderId="0" xfId="0" applyNumberFormat="1" applyFont="1" applyProtection="1"/>
    <xf numFmtId="0" fontId="58" fillId="6" borderId="5" xfId="6" applyFont="1" applyFill="1" applyBorder="1" applyAlignment="1">
      <alignment horizontal="left"/>
    </xf>
    <xf numFmtId="0" fontId="83" fillId="6" borderId="5" xfId="6" applyFont="1" applyFill="1" applyBorder="1" applyAlignment="1">
      <alignment horizontal="center"/>
    </xf>
    <xf numFmtId="0" fontId="69" fillId="0" borderId="20" xfId="8" applyFont="1" applyBorder="1" applyAlignment="1" applyProtection="1"/>
    <xf numFmtId="0" fontId="88" fillId="6" borderId="4" xfId="6" applyFont="1" applyFill="1" applyBorder="1" applyAlignment="1" applyProtection="1">
      <alignment horizontal="left"/>
      <protection locked="0"/>
    </xf>
    <xf numFmtId="0" fontId="83" fillId="6" borderId="5" xfId="6" applyFont="1" applyFill="1" applyBorder="1" applyAlignment="1">
      <alignment horizontal="left"/>
    </xf>
    <xf numFmtId="0" fontId="89" fillId="6" borderId="6" xfId="6" applyFont="1" applyFill="1" applyBorder="1" applyAlignment="1">
      <alignment horizontal="right"/>
    </xf>
    <xf numFmtId="0" fontId="0" fillId="0" borderId="0" xfId="0" applyAlignment="1" applyProtection="1">
      <alignment horizontal="left"/>
    </xf>
    <xf numFmtId="0" fontId="1" fillId="0" borderId="0" xfId="6" applyAlignment="1" applyProtection="1">
      <alignment horizontal="left"/>
      <protection locked="0"/>
    </xf>
    <xf numFmtId="14" fontId="1" fillId="0" borderId="0" xfId="6" applyNumberFormat="1" applyFont="1" applyAlignment="1" applyProtection="1">
      <alignment horizontal="left"/>
      <protection locked="0"/>
    </xf>
    <xf numFmtId="0" fontId="1" fillId="0" borderId="0" xfId="0" applyFont="1" applyAlignment="1" applyProtection="1">
      <alignment wrapText="1"/>
      <protection locked="0"/>
    </xf>
    <xf numFmtId="0" fontId="37" fillId="0" borderId="11" xfId="7" applyFont="1" applyBorder="1" applyAlignment="1" applyProtection="1">
      <alignment horizontal="left"/>
    </xf>
    <xf numFmtId="0" fontId="37" fillId="0" borderId="12" xfId="7" applyFont="1" applyBorder="1" applyAlignment="1" applyProtection="1">
      <alignment horizontal="left"/>
    </xf>
    <xf numFmtId="0" fontId="6" fillId="0" borderId="20" xfId="7" applyFont="1" applyFill="1" applyBorder="1" applyAlignment="1" applyProtection="1">
      <alignment horizontal="left"/>
      <protection locked="0"/>
    </xf>
    <xf numFmtId="0" fontId="1" fillId="0" borderId="14" xfId="7" applyFont="1" applyFill="1" applyBorder="1" applyAlignment="1" applyProtection="1">
      <alignment horizontal="center"/>
    </xf>
    <xf numFmtId="0" fontId="1" fillId="0" borderId="15" xfId="7" applyFont="1" applyFill="1" applyBorder="1" applyAlignment="1" applyProtection="1">
      <alignment horizontal="center"/>
    </xf>
    <xf numFmtId="0" fontId="37" fillId="0" borderId="11" xfId="7" applyFont="1" applyFill="1" applyBorder="1" applyAlignment="1" applyProtection="1">
      <alignment wrapText="1"/>
    </xf>
    <xf numFmtId="0" fontId="37" fillId="0" borderId="11" xfId="7" applyFont="1" applyFill="1" applyBorder="1" applyAlignment="1" applyProtection="1"/>
    <xf numFmtId="0" fontId="37" fillId="0" borderId="12" xfId="7" applyFont="1" applyFill="1" applyBorder="1" applyAlignment="1" applyProtection="1"/>
    <xf numFmtId="0" fontId="1" fillId="0" borderId="4" xfId="7" applyFont="1" applyFill="1" applyBorder="1" applyAlignment="1" applyProtection="1">
      <alignment horizontal="left"/>
    </xf>
    <xf numFmtId="0" fontId="1" fillId="0" borderId="5" xfId="7" applyFont="1" applyFill="1" applyBorder="1" applyAlignment="1" applyProtection="1">
      <alignment horizontal="left"/>
    </xf>
    <xf numFmtId="0" fontId="1" fillId="0" borderId="6" xfId="7" applyFont="1" applyFill="1" applyBorder="1" applyAlignment="1" applyProtection="1">
      <alignment horizontal="left"/>
    </xf>
    <xf numFmtId="0" fontId="6" fillId="0" borderId="5" xfId="7" applyFont="1" applyFill="1" applyBorder="1" applyAlignment="1" applyProtection="1">
      <alignment horizontal="center"/>
    </xf>
    <xf numFmtId="0" fontId="6" fillId="0" borderId="17" xfId="7" applyFont="1" applyFill="1" applyBorder="1" applyAlignment="1" applyProtection="1">
      <alignment horizontal="center"/>
    </xf>
    <xf numFmtId="0" fontId="38" fillId="0" borderId="16" xfId="7" applyFont="1" applyFill="1" applyBorder="1" applyAlignment="1" applyProtection="1">
      <alignment horizontal="left" vertical="center"/>
    </xf>
    <xf numFmtId="0" fontId="38" fillId="0" borderId="0" xfId="7" applyFont="1" applyFill="1" applyBorder="1" applyAlignment="1" applyProtection="1">
      <alignment horizontal="left" vertical="center"/>
    </xf>
    <xf numFmtId="0" fontId="38" fillId="0" borderId="24" xfId="7" applyFont="1" applyFill="1" applyBorder="1" applyAlignment="1" applyProtection="1">
      <alignment horizontal="left" vertical="center"/>
    </xf>
    <xf numFmtId="0" fontId="33" fillId="0" borderId="1" xfId="7" applyFont="1" applyBorder="1" applyAlignment="1" applyProtection="1">
      <alignment horizontal="left"/>
    </xf>
    <xf numFmtId="0" fontId="33" fillId="0" borderId="13" xfId="7" applyFont="1" applyBorder="1" applyAlignment="1" applyProtection="1">
      <alignment horizontal="left"/>
    </xf>
    <xf numFmtId="0" fontId="38" fillId="0" borderId="0" xfId="7" applyFont="1" applyBorder="1" applyAlignment="1" applyProtection="1">
      <alignment horizontal="left" vertical="center"/>
    </xf>
    <xf numFmtId="0" fontId="38" fillId="0" borderId="9" xfId="7" applyFont="1" applyBorder="1" applyAlignment="1" applyProtection="1">
      <alignment horizontal="left" vertical="center"/>
    </xf>
    <xf numFmtId="169" fontId="6" fillId="0" borderId="20" xfId="7" applyNumberFormat="1" applyFont="1" applyFill="1" applyBorder="1" applyAlignment="1" applyProtection="1">
      <alignment horizontal="left"/>
      <protection locked="0"/>
    </xf>
    <xf numFmtId="0" fontId="32" fillId="0" borderId="14" xfId="7" applyFont="1" applyBorder="1" applyAlignment="1" applyProtection="1">
      <alignment horizontal="left"/>
    </xf>
    <xf numFmtId="0" fontId="32" fillId="0" borderId="15" xfId="7" applyFont="1" applyBorder="1" applyAlignment="1" applyProtection="1">
      <alignment horizontal="left"/>
    </xf>
    <xf numFmtId="0" fontId="38" fillId="0" borderId="26" xfId="7" applyFont="1" applyFill="1" applyBorder="1" applyAlignment="1" applyProtection="1">
      <alignment horizontal="left" vertical="center"/>
    </xf>
    <xf numFmtId="0" fontId="38" fillId="0" borderId="20" xfId="7" applyFont="1" applyFill="1" applyBorder="1" applyAlignment="1" applyProtection="1">
      <alignment horizontal="left" vertical="center"/>
    </xf>
    <xf numFmtId="0" fontId="38" fillId="0" borderId="21" xfId="7" applyFont="1" applyFill="1" applyBorder="1" applyAlignment="1" applyProtection="1">
      <alignment horizontal="left" vertical="center"/>
    </xf>
    <xf numFmtId="0" fontId="6" fillId="0" borderId="4" xfId="7" applyNumberFormat="1" applyFont="1" applyFill="1" applyBorder="1" applyAlignment="1" applyProtection="1">
      <alignment horizontal="center"/>
    </xf>
    <xf numFmtId="0" fontId="6" fillId="0" borderId="5" xfId="7" applyNumberFormat="1" applyFont="1" applyFill="1" applyBorder="1" applyAlignment="1" applyProtection="1">
      <alignment horizontal="center"/>
    </xf>
    <xf numFmtId="0" fontId="6" fillId="0" borderId="6" xfId="7" applyNumberFormat="1" applyFont="1" applyFill="1" applyBorder="1" applyAlignment="1" applyProtection="1">
      <alignment horizontal="center"/>
    </xf>
    <xf numFmtId="14" fontId="6" fillId="0" borderId="5" xfId="7" applyNumberFormat="1" applyFont="1" applyFill="1" applyBorder="1" applyAlignment="1" applyProtection="1">
      <alignment horizontal="center"/>
    </xf>
    <xf numFmtId="0" fontId="37" fillId="0" borderId="1" xfId="7" applyFont="1" applyBorder="1" applyAlignment="1" applyProtection="1">
      <alignment horizontal="left"/>
    </xf>
    <xf numFmtId="0" fontId="37" fillId="0" borderId="13" xfId="7" applyFont="1" applyBorder="1" applyAlignment="1" applyProtection="1">
      <alignment horizontal="left"/>
    </xf>
    <xf numFmtId="0" fontId="6" fillId="0" borderId="8" xfId="7" applyFill="1" applyBorder="1" applyAlignment="1" applyProtection="1">
      <alignment horizontal="left"/>
    </xf>
    <xf numFmtId="0" fontId="6" fillId="0" borderId="30" xfId="7" applyFill="1" applyBorder="1" applyAlignment="1" applyProtection="1">
      <alignment horizontal="left"/>
    </xf>
    <xf numFmtId="0" fontId="37" fillId="0" borderId="1" xfId="7" applyFont="1" applyBorder="1" applyAlignment="1" applyProtection="1">
      <alignment horizontal="center"/>
    </xf>
    <xf numFmtId="0" fontId="37" fillId="0" borderId="0" xfId="7" applyFont="1" applyBorder="1" applyAlignment="1" applyProtection="1">
      <alignment horizontal="center"/>
    </xf>
    <xf numFmtId="0" fontId="37" fillId="0" borderId="9" xfId="7" applyFont="1" applyBorder="1" applyAlignment="1" applyProtection="1">
      <alignment horizontal="center"/>
    </xf>
    <xf numFmtId="0" fontId="1" fillId="0" borderId="24" xfId="7" applyFont="1" applyFill="1" applyBorder="1" applyAlignment="1" applyProtection="1">
      <alignment vertical="top"/>
    </xf>
    <xf numFmtId="0" fontId="6" fillId="7" borderId="27" xfId="7" applyFont="1" applyFill="1" applyBorder="1" applyAlignment="1" applyProtection="1">
      <alignment horizontal="left" vertical="top" wrapText="1"/>
      <protection locked="0"/>
    </xf>
    <xf numFmtId="0" fontId="6" fillId="7" borderId="3" xfId="7" applyFont="1" applyFill="1" applyBorder="1" applyAlignment="1" applyProtection="1">
      <alignment horizontal="left" vertical="top" wrapText="1"/>
      <protection locked="0"/>
    </xf>
    <xf numFmtId="0" fontId="6" fillId="7" borderId="29" xfId="7" applyFont="1" applyFill="1" applyBorder="1" applyAlignment="1" applyProtection="1">
      <alignment horizontal="left" vertical="top" wrapText="1"/>
      <protection locked="0"/>
    </xf>
    <xf numFmtId="0" fontId="6" fillId="7" borderId="16" xfId="7" applyFont="1" applyFill="1" applyBorder="1" applyAlignment="1" applyProtection="1">
      <alignment horizontal="left" vertical="top" wrapText="1"/>
      <protection locked="0"/>
    </xf>
    <xf numFmtId="0" fontId="6" fillId="7" borderId="0" xfId="7" applyFont="1" applyFill="1" applyBorder="1" applyAlignment="1" applyProtection="1">
      <alignment horizontal="left" vertical="top" wrapText="1"/>
      <protection locked="0"/>
    </xf>
    <xf numFmtId="0" fontId="6" fillId="7" borderId="9" xfId="7" applyFont="1" applyFill="1" applyBorder="1" applyAlignment="1" applyProtection="1">
      <alignment horizontal="left" vertical="top" wrapText="1"/>
      <protection locked="0"/>
    </xf>
    <xf numFmtId="0" fontId="6" fillId="7" borderId="26" xfId="7" applyFont="1" applyFill="1" applyBorder="1" applyAlignment="1" applyProtection="1">
      <alignment horizontal="left" vertical="top" wrapText="1"/>
      <protection locked="0"/>
    </xf>
    <xf numFmtId="0" fontId="6" fillId="7" borderId="20" xfId="7" applyFont="1" applyFill="1" applyBorder="1" applyAlignment="1" applyProtection="1">
      <alignment horizontal="left" vertical="top" wrapText="1"/>
      <protection locked="0"/>
    </xf>
    <xf numFmtId="0" fontId="6" fillId="7" borderId="19" xfId="7" applyFont="1" applyFill="1" applyBorder="1" applyAlignment="1" applyProtection="1">
      <alignment horizontal="left" vertical="top" wrapText="1"/>
      <protection locked="0"/>
    </xf>
    <xf numFmtId="0" fontId="37" fillId="0" borderId="20" xfId="7" applyFont="1" applyFill="1" applyBorder="1" applyAlignment="1" applyProtection="1">
      <alignment horizontal="left"/>
    </xf>
    <xf numFmtId="0" fontId="37" fillId="0" borderId="19" xfId="7" applyFont="1" applyFill="1" applyBorder="1" applyAlignment="1" applyProtection="1">
      <alignment horizontal="left"/>
    </xf>
    <xf numFmtId="0" fontId="42" fillId="0" borderId="4" xfId="7" applyFont="1" applyFill="1" applyBorder="1" applyAlignment="1" applyProtection="1">
      <alignment horizontal="left" vertical="center"/>
    </xf>
    <xf numFmtId="0" fontId="42" fillId="0" borderId="5" xfId="7" applyFont="1" applyFill="1" applyBorder="1" applyAlignment="1" applyProtection="1">
      <alignment horizontal="left" vertical="center"/>
    </xf>
    <xf numFmtId="0" fontId="42" fillId="0" borderId="6" xfId="7" applyFont="1" applyFill="1" applyBorder="1" applyAlignment="1" applyProtection="1">
      <alignment horizontal="left" vertical="center"/>
    </xf>
    <xf numFmtId="0" fontId="38" fillId="0" borderId="4" xfId="7" applyFont="1" applyFill="1" applyBorder="1" applyAlignment="1" applyProtection="1">
      <alignment horizontal="center" vertical="center"/>
    </xf>
    <xf numFmtId="0" fontId="6" fillId="0" borderId="5" xfId="7" applyFont="1" applyBorder="1" applyAlignment="1" applyProtection="1">
      <alignment horizontal="center"/>
    </xf>
    <xf numFmtId="0" fontId="6" fillId="0" borderId="6" xfId="7" applyFont="1" applyBorder="1" applyAlignment="1" applyProtection="1">
      <alignment horizontal="center"/>
    </xf>
    <xf numFmtId="0" fontId="38" fillId="0" borderId="5" xfId="7" applyFont="1" applyFill="1" applyBorder="1" applyAlignment="1" applyProtection="1">
      <alignment horizontal="center" vertical="center"/>
    </xf>
    <xf numFmtId="0" fontId="38" fillId="0" borderId="6" xfId="7" applyFont="1" applyFill="1" applyBorder="1" applyAlignment="1" applyProtection="1">
      <alignment horizontal="center" vertical="center"/>
    </xf>
    <xf numFmtId="0" fontId="38" fillId="0" borderId="17" xfId="7" applyFont="1" applyFill="1" applyBorder="1" applyAlignment="1" applyProtection="1">
      <alignment horizontal="center" vertical="center"/>
    </xf>
    <xf numFmtId="0" fontId="38" fillId="0" borderId="27" xfId="7" applyFont="1" applyFill="1" applyBorder="1" applyAlignment="1" applyProtection="1">
      <alignment horizontal="left" vertical="center"/>
    </xf>
    <xf numFmtId="0" fontId="38" fillId="0" borderId="3" xfId="7" applyFont="1" applyFill="1" applyBorder="1" applyAlignment="1" applyProtection="1">
      <alignment horizontal="left" vertical="center"/>
    </xf>
    <xf numFmtId="0" fontId="38" fillId="0" borderId="23" xfId="7" applyFont="1" applyFill="1" applyBorder="1" applyAlignment="1" applyProtection="1">
      <alignment horizontal="left" vertical="center"/>
    </xf>
    <xf numFmtId="0" fontId="44" fillId="0" borderId="22" xfId="7" applyFont="1" applyFill="1" applyBorder="1" applyAlignment="1" applyProtection="1">
      <alignment horizontal="left"/>
    </xf>
    <xf numFmtId="0" fontId="44" fillId="0" borderId="18" xfId="7" applyFont="1" applyFill="1" applyBorder="1" applyAlignment="1" applyProtection="1">
      <alignment horizontal="left"/>
    </xf>
    <xf numFmtId="0" fontId="44" fillId="0" borderId="7" xfId="7" applyFont="1" applyFill="1" applyBorder="1" applyAlignment="1" applyProtection="1">
      <alignment horizontal="left"/>
    </xf>
    <xf numFmtId="0" fontId="1" fillId="0" borderId="16" xfId="7" applyFont="1" applyFill="1" applyBorder="1" applyAlignment="1" applyProtection="1">
      <alignment horizontal="left" vertical="center"/>
    </xf>
    <xf numFmtId="0" fontId="1" fillId="0" borderId="0" xfId="7" applyFont="1" applyFill="1" applyBorder="1" applyAlignment="1" applyProtection="1">
      <alignment horizontal="left" vertical="center"/>
    </xf>
    <xf numFmtId="0" fontId="1" fillId="0" borderId="24" xfId="7" applyFont="1" applyFill="1" applyBorder="1" applyAlignment="1" applyProtection="1">
      <alignment horizontal="left" vertical="center"/>
    </xf>
    <xf numFmtId="0" fontId="1" fillId="7" borderId="4" xfId="7" applyFont="1" applyFill="1" applyBorder="1" applyAlignment="1" applyProtection="1">
      <alignment horizontal="center" vertical="center"/>
      <protection locked="0"/>
    </xf>
    <xf numFmtId="0" fontId="1" fillId="7" borderId="6" xfId="7" applyFont="1" applyFill="1" applyBorder="1" applyAlignment="1" applyProtection="1">
      <alignment horizontal="center" vertical="center"/>
      <protection locked="0"/>
    </xf>
    <xf numFmtId="9" fontId="1" fillId="7" borderId="4" xfId="7" applyNumberFormat="1" applyFont="1" applyFill="1" applyBorder="1" applyAlignment="1" applyProtection="1">
      <alignment horizontal="center" vertical="center"/>
      <protection locked="0"/>
    </xf>
    <xf numFmtId="4" fontId="1" fillId="0" borderId="4" xfId="7" applyNumberFormat="1" applyFont="1" applyFill="1" applyBorder="1" applyAlignment="1" applyProtection="1">
      <alignment horizontal="center" vertical="center"/>
    </xf>
    <xf numFmtId="4" fontId="1" fillId="0" borderId="5" xfId="7" applyNumberFormat="1" applyFont="1" applyFill="1" applyBorder="1" applyAlignment="1" applyProtection="1">
      <alignment horizontal="center" vertical="center"/>
    </xf>
    <xf numFmtId="0" fontId="1" fillId="0" borderId="26" xfId="7" applyFont="1" applyFill="1" applyBorder="1" applyAlignment="1" applyProtection="1">
      <alignment horizontal="center" vertical="center"/>
    </xf>
    <xf numFmtId="0" fontId="1" fillId="0" borderId="20" xfId="7" applyFont="1" applyFill="1" applyBorder="1" applyAlignment="1" applyProtection="1">
      <alignment horizontal="center" vertical="center"/>
    </xf>
    <xf numFmtId="0" fontId="1" fillId="0" borderId="19" xfId="7" applyFont="1" applyFill="1" applyBorder="1" applyAlignment="1" applyProtection="1">
      <alignment horizontal="center" vertical="center"/>
    </xf>
    <xf numFmtId="0" fontId="1" fillId="0" borderId="20" xfId="7" applyFont="1" applyFill="1" applyBorder="1" applyAlignment="1" applyProtection="1">
      <alignment horizontal="left"/>
    </xf>
    <xf numFmtId="0" fontId="1" fillId="0" borderId="0" xfId="7" applyFont="1" applyFill="1" applyBorder="1" applyAlignment="1" applyProtection="1">
      <alignment horizontal="center" vertical="center"/>
    </xf>
    <xf numFmtId="0" fontId="1" fillId="0" borderId="9" xfId="7" applyFont="1" applyFill="1" applyBorder="1" applyAlignment="1" applyProtection="1">
      <alignment horizontal="center" vertical="center"/>
    </xf>
    <xf numFmtId="0" fontId="2" fillId="0" borderId="27" xfId="7" applyFont="1" applyFill="1" applyBorder="1" applyAlignment="1" applyProtection="1">
      <alignment horizontal="left"/>
    </xf>
    <xf numFmtId="0" fontId="1" fillId="0" borderId="3" xfId="7" applyFont="1" applyFill="1" applyBorder="1" applyAlignment="1" applyProtection="1">
      <alignment horizontal="left"/>
    </xf>
    <xf numFmtId="0" fontId="2" fillId="0" borderId="3" xfId="7" applyFont="1" applyFill="1" applyBorder="1" applyAlignment="1" applyProtection="1">
      <alignment horizontal="left" vertical="center"/>
    </xf>
    <xf numFmtId="0" fontId="2" fillId="0" borderId="0" xfId="7" applyFont="1" applyFill="1" applyBorder="1" applyAlignment="1" applyProtection="1">
      <alignment horizontal="left" vertical="center"/>
    </xf>
    <xf numFmtId="0" fontId="1" fillId="0" borderId="3" xfId="7" applyFont="1" applyFill="1" applyBorder="1" applyAlignment="1" applyProtection="1">
      <alignment horizontal="center" vertical="justify"/>
    </xf>
    <xf numFmtId="0" fontId="1" fillId="0" borderId="29" xfId="7" applyFont="1" applyFill="1" applyBorder="1" applyAlignment="1" applyProtection="1">
      <alignment horizontal="center" vertical="justify"/>
    </xf>
    <xf numFmtId="0" fontId="1" fillId="0" borderId="20" xfId="7" applyFont="1" applyFill="1" applyBorder="1" applyAlignment="1" applyProtection="1">
      <alignment horizontal="center" vertical="justify"/>
    </xf>
    <xf numFmtId="0" fontId="1" fillId="0" borderId="19" xfId="7" applyFont="1" applyFill="1" applyBorder="1" applyAlignment="1" applyProtection="1">
      <alignment horizontal="center" vertical="justify"/>
    </xf>
    <xf numFmtId="0" fontId="1" fillId="0" borderId="16" xfId="7" applyFont="1" applyFill="1" applyBorder="1" applyAlignment="1" applyProtection="1">
      <alignment horizontal="left" vertical="center" wrapText="1"/>
    </xf>
    <xf numFmtId="1" fontId="1" fillId="0" borderId="4" xfId="7" applyNumberFormat="1" applyFont="1" applyFill="1" applyBorder="1" applyAlignment="1" applyProtection="1">
      <alignment horizontal="center" vertical="center"/>
    </xf>
    <xf numFmtId="1" fontId="1" fillId="0" borderId="5" xfId="7" applyNumberFormat="1" applyFont="1" applyFill="1" applyBorder="1" applyAlignment="1" applyProtection="1">
      <alignment horizontal="center" vertical="center"/>
    </xf>
    <xf numFmtId="0" fontId="2" fillId="0" borderId="28" xfId="7" applyFont="1" applyFill="1" applyBorder="1" applyAlignment="1" applyProtection="1">
      <alignment horizontal="left"/>
    </xf>
    <xf numFmtId="0" fontId="1" fillId="0" borderId="11" xfId="7" applyFont="1" applyFill="1" applyBorder="1" applyAlignment="1" applyProtection="1">
      <alignment horizontal="left"/>
    </xf>
    <xf numFmtId="0" fontId="2" fillId="0" borderId="11" xfId="7" applyFont="1" applyFill="1" applyBorder="1" applyAlignment="1" applyProtection="1">
      <alignment horizontal="left" vertical="center"/>
    </xf>
    <xf numFmtId="0" fontId="1" fillId="0" borderId="11" xfId="7" applyFont="1" applyFill="1" applyBorder="1" applyAlignment="1" applyProtection="1">
      <alignment horizontal="center" vertical="justify"/>
    </xf>
    <xf numFmtId="0" fontId="1" fillId="0" borderId="12" xfId="7" applyFont="1" applyFill="1" applyBorder="1" applyAlignment="1" applyProtection="1">
      <alignment horizontal="center" vertical="justify"/>
    </xf>
    <xf numFmtId="0" fontId="33" fillId="0" borderId="0" xfId="7" applyFont="1" applyBorder="1" applyAlignment="1" applyProtection="1">
      <alignment horizontal="left"/>
      <protection locked="0"/>
    </xf>
    <xf numFmtId="0" fontId="33" fillId="0" borderId="0" xfId="7" applyFont="1" applyAlignment="1" applyProtection="1">
      <alignment horizontal="left"/>
      <protection locked="0"/>
    </xf>
    <xf numFmtId="0" fontId="33" fillId="7" borderId="5" xfId="7" applyFont="1" applyFill="1" applyBorder="1" applyAlignment="1" applyProtection="1">
      <alignment horizontal="left"/>
      <protection locked="0"/>
    </xf>
    <xf numFmtId="0" fontId="39" fillId="0" borderId="0" xfId="7" applyFont="1" applyFill="1" applyBorder="1" applyAlignment="1" applyProtection="1">
      <alignment horizontal="center"/>
    </xf>
    <xf numFmtId="0" fontId="39" fillId="0" borderId="9" xfId="7" applyFont="1" applyFill="1" applyBorder="1" applyAlignment="1" applyProtection="1">
      <alignment horizontal="center"/>
    </xf>
    <xf numFmtId="0" fontId="37" fillId="0" borderId="0" xfId="7" applyFont="1" applyFill="1" applyBorder="1" applyAlignment="1" applyProtection="1">
      <alignment horizontal="left"/>
    </xf>
    <xf numFmtId="0" fontId="33" fillId="7" borderId="20" xfId="7" applyFont="1" applyFill="1" applyBorder="1" applyAlignment="1" applyProtection="1">
      <alignment horizontal="left"/>
      <protection locked="0"/>
    </xf>
    <xf numFmtId="0" fontId="39" fillId="0" borderId="14" xfId="7" applyFont="1" applyBorder="1" applyAlignment="1" applyProtection="1">
      <alignment horizontal="left"/>
    </xf>
    <xf numFmtId="0" fontId="39" fillId="0" borderId="0" xfId="7" applyFont="1" applyBorder="1" applyAlignment="1" applyProtection="1">
      <alignment horizontal="left"/>
    </xf>
    <xf numFmtId="0" fontId="39" fillId="0" borderId="15" xfId="7" applyFont="1" applyBorder="1" applyAlignment="1" applyProtection="1">
      <alignment horizontal="left"/>
    </xf>
    <xf numFmtId="0" fontId="44" fillId="0" borderId="9" xfId="7" applyFont="1" applyFill="1" applyBorder="1" applyAlignment="1" applyProtection="1">
      <alignment horizontal="center"/>
    </xf>
    <xf numFmtId="0" fontId="37" fillId="0" borderId="10" xfId="7" applyFont="1" applyBorder="1" applyAlignment="1" applyProtection="1">
      <alignment horizontal="center"/>
    </xf>
    <xf numFmtId="0" fontId="37" fillId="0" borderId="11" xfId="7" applyFont="1" applyBorder="1" applyAlignment="1" applyProtection="1">
      <alignment horizontal="center"/>
    </xf>
    <xf numFmtId="0" fontId="37" fillId="0" borderId="12" xfId="7" applyFont="1" applyBorder="1" applyAlignment="1" applyProtection="1">
      <alignment horizontal="center"/>
    </xf>
    <xf numFmtId="0" fontId="6" fillId="0" borderId="0" xfId="7" applyBorder="1" applyAlignment="1" applyProtection="1">
      <alignment horizontal="left"/>
    </xf>
    <xf numFmtId="0" fontId="6" fillId="0" borderId="9" xfId="7" applyBorder="1" applyAlignment="1" applyProtection="1">
      <alignment horizontal="left"/>
    </xf>
    <xf numFmtId="0" fontId="1" fillId="0" borderId="0" xfId="7" applyFont="1" applyFill="1" applyBorder="1" applyAlignment="1" applyProtection="1">
      <alignment horizontal="center" vertical="distributed"/>
    </xf>
    <xf numFmtId="0" fontId="1" fillId="0" borderId="9" xfId="7" applyFont="1" applyFill="1" applyBorder="1" applyAlignment="1" applyProtection="1">
      <alignment horizontal="center" vertical="distributed"/>
    </xf>
    <xf numFmtId="0" fontId="40" fillId="0" borderId="0" xfId="7" applyFont="1" applyFill="1" applyBorder="1" applyAlignment="1" applyProtection="1">
      <alignment horizontal="center"/>
    </xf>
    <xf numFmtId="0" fontId="40" fillId="0" borderId="9" xfId="7" applyFont="1" applyFill="1" applyBorder="1" applyAlignment="1" applyProtection="1">
      <alignment horizontal="center"/>
    </xf>
    <xf numFmtId="0" fontId="41" fillId="0" borderId="0" xfId="7" applyFont="1" applyFill="1" applyBorder="1" applyAlignment="1" applyProtection="1">
      <alignment horizontal="left"/>
    </xf>
    <xf numFmtId="0" fontId="42" fillId="0" borderId="0" xfId="7" applyFont="1" applyFill="1" applyBorder="1" applyAlignment="1" applyProtection="1">
      <alignment horizontal="left"/>
    </xf>
    <xf numFmtId="0" fontId="41" fillId="0" borderId="0" xfId="7" applyFont="1" applyFill="1" applyBorder="1" applyAlignment="1" applyProtection="1">
      <alignment horizontal="center"/>
    </xf>
    <xf numFmtId="0" fontId="41" fillId="0" borderId="9" xfId="7" applyFont="1" applyFill="1" applyBorder="1" applyAlignment="1" applyProtection="1">
      <alignment horizontal="center"/>
    </xf>
    <xf numFmtId="0" fontId="37" fillId="0" borderId="0" xfId="7" applyFont="1" applyFill="1" applyBorder="1" applyAlignment="1" applyProtection="1">
      <alignment horizontal="left" vertical="center"/>
    </xf>
    <xf numFmtId="0" fontId="41" fillId="0" borderId="0" xfId="7" applyFont="1" applyFill="1" applyBorder="1" applyAlignment="1" applyProtection="1">
      <alignment horizontal="left" vertical="center"/>
    </xf>
    <xf numFmtId="0" fontId="38" fillId="0" borderId="0" xfId="7" applyFont="1" applyBorder="1" applyAlignment="1" applyProtection="1">
      <alignment horizontal="left"/>
      <protection locked="0"/>
    </xf>
    <xf numFmtId="0" fontId="6" fillId="0" borderId="0" xfId="7" applyAlignment="1" applyProtection="1">
      <alignment horizontal="left"/>
      <protection locked="0"/>
    </xf>
    <xf numFmtId="0" fontId="9" fillId="0" borderId="0" xfId="7" applyFont="1" applyFill="1" applyBorder="1" applyAlignment="1" applyProtection="1">
      <alignment horizontal="center" vertical="center"/>
    </xf>
    <xf numFmtId="0" fontId="38" fillId="0" borderId="0" xfId="7" applyFont="1" applyBorder="1" applyAlignment="1" applyProtection="1">
      <alignment horizontal="left"/>
    </xf>
    <xf numFmtId="0" fontId="38" fillId="0" borderId="9" xfId="7" applyFont="1" applyBorder="1" applyAlignment="1" applyProtection="1">
      <alignment horizontal="left"/>
    </xf>
    <xf numFmtId="0" fontId="38" fillId="0" borderId="0" xfId="7" applyFont="1" applyAlignment="1" applyProtection="1">
      <alignment horizontal="left"/>
      <protection locked="0"/>
    </xf>
    <xf numFmtId="0" fontId="9" fillId="0" borderId="0" xfId="7" applyFont="1" applyFill="1" applyBorder="1" applyAlignment="1" applyProtection="1">
      <alignment horizontal="left" vertical="center" wrapText="1"/>
    </xf>
    <xf numFmtId="0" fontId="9" fillId="0" borderId="0" xfId="7" applyFont="1" applyFill="1" applyBorder="1" applyAlignment="1" applyProtection="1">
      <alignment horizontal="left" vertical="center"/>
    </xf>
    <xf numFmtId="0" fontId="35" fillId="0" borderId="10" xfId="7" applyFont="1" applyFill="1" applyBorder="1" applyAlignment="1" applyProtection="1">
      <alignment horizontal="left" vertical="center"/>
    </xf>
    <xf numFmtId="0" fontId="35" fillId="0" borderId="11" xfId="7" applyFont="1" applyFill="1" applyBorder="1" applyAlignment="1" applyProtection="1">
      <alignment horizontal="left" vertical="center"/>
    </xf>
    <xf numFmtId="0" fontId="35" fillId="0" borderId="13" xfId="7" applyFont="1" applyFill="1" applyBorder="1" applyAlignment="1" applyProtection="1">
      <alignment horizontal="left" vertical="center"/>
    </xf>
    <xf numFmtId="0" fontId="35" fillId="0" borderId="14" xfId="7" applyFont="1" applyFill="1" applyBorder="1" applyAlignment="1" applyProtection="1">
      <alignment horizontal="left" vertical="center"/>
    </xf>
    <xf numFmtId="0" fontId="36" fillId="0" borderId="10" xfId="7" applyFont="1" applyFill="1" applyBorder="1" applyAlignment="1" applyProtection="1">
      <alignment horizontal="center" vertical="center"/>
    </xf>
    <xf numFmtId="0" fontId="36" fillId="0" borderId="11" xfId="7" applyFont="1" applyFill="1" applyBorder="1" applyAlignment="1" applyProtection="1">
      <alignment horizontal="center" vertical="center"/>
    </xf>
    <xf numFmtId="0" fontId="36" fillId="0" borderId="13" xfId="7" applyFont="1" applyFill="1" applyBorder="1" applyAlignment="1" applyProtection="1">
      <alignment horizontal="center" vertical="center"/>
    </xf>
    <xf numFmtId="0" fontId="36" fillId="0" borderId="14" xfId="7" applyFont="1" applyFill="1" applyBorder="1" applyAlignment="1" applyProtection="1">
      <alignment horizontal="center" vertical="center"/>
    </xf>
    <xf numFmtId="0" fontId="36" fillId="0" borderId="12" xfId="7" applyFont="1" applyFill="1" applyBorder="1" applyAlignment="1" applyProtection="1">
      <alignment horizontal="center" vertical="center"/>
    </xf>
    <xf numFmtId="0" fontId="36" fillId="0" borderId="15" xfId="7" applyFont="1" applyFill="1" applyBorder="1" applyAlignment="1" applyProtection="1">
      <alignment horizontal="center" vertical="center"/>
    </xf>
    <xf numFmtId="0" fontId="9" fillId="0" borderId="14" xfId="7" applyFont="1" applyFill="1" applyBorder="1" applyAlignment="1" applyProtection="1">
      <alignment horizontal="right" vertical="center"/>
    </xf>
    <xf numFmtId="0" fontId="9" fillId="0" borderId="0" xfId="7" applyFont="1" applyFill="1" applyBorder="1" applyAlignment="1" applyProtection="1">
      <alignment horizontal="right" vertical="center"/>
    </xf>
    <xf numFmtId="0" fontId="37" fillId="0" borderId="0" xfId="7" applyFont="1" applyBorder="1" applyAlignment="1" applyProtection="1"/>
    <xf numFmtId="0" fontId="38" fillId="0" borderId="0" xfId="7" applyFont="1" applyBorder="1" applyAlignment="1" applyProtection="1"/>
    <xf numFmtId="0" fontId="38" fillId="0" borderId="9" xfId="7" applyFont="1" applyBorder="1" applyAlignment="1" applyProtection="1"/>
    <xf numFmtId="0" fontId="37" fillId="0" borderId="13" xfId="7" applyFont="1" applyBorder="1" applyAlignment="1" applyProtection="1">
      <alignment horizontal="center"/>
    </xf>
    <xf numFmtId="0" fontId="6" fillId="7" borderId="0" xfId="7" applyFont="1" applyFill="1" applyBorder="1" applyAlignment="1" applyProtection="1">
      <alignment horizontal="left" vertical="center" wrapText="1"/>
      <protection locked="0"/>
    </xf>
    <xf numFmtId="0" fontId="6" fillId="7" borderId="9" xfId="7" applyFont="1" applyFill="1" applyBorder="1" applyAlignment="1" applyProtection="1">
      <alignment horizontal="left" vertical="center" wrapText="1"/>
      <protection locked="0"/>
    </xf>
    <xf numFmtId="0" fontId="6" fillId="7" borderId="14" xfId="7" applyFont="1" applyFill="1" applyBorder="1" applyAlignment="1" applyProtection="1">
      <alignment horizontal="left" vertical="center" wrapText="1"/>
      <protection locked="0"/>
    </xf>
    <xf numFmtId="0" fontId="6" fillId="7" borderId="15" xfId="7" applyFont="1" applyFill="1" applyBorder="1" applyAlignment="1" applyProtection="1">
      <alignment horizontal="left" vertical="center" wrapText="1"/>
      <protection locked="0"/>
    </xf>
    <xf numFmtId="0" fontId="37" fillId="0" borderId="11" xfId="7" applyFont="1" applyFill="1" applyBorder="1" applyAlignment="1" applyProtection="1">
      <alignment horizontal="left"/>
    </xf>
    <xf numFmtId="0" fontId="37" fillId="0" borderId="12" xfId="7" applyFont="1" applyFill="1" applyBorder="1" applyAlignment="1" applyProtection="1">
      <alignment horizontal="left"/>
    </xf>
    <xf numFmtId="0" fontId="37" fillId="0" borderId="0" xfId="7" applyFont="1" applyFill="1" applyBorder="1" applyAlignment="1" applyProtection="1">
      <alignment horizontal="center"/>
    </xf>
    <xf numFmtId="0" fontId="37" fillId="0" borderId="9" xfId="7" applyFont="1" applyFill="1" applyBorder="1" applyAlignment="1" applyProtection="1">
      <alignment horizontal="center"/>
    </xf>
    <xf numFmtId="4" fontId="6" fillId="7" borderId="20" xfId="7" applyNumberFormat="1" applyFont="1" applyFill="1" applyBorder="1" applyAlignment="1" applyProtection="1">
      <alignment horizontal="center"/>
      <protection locked="0"/>
    </xf>
    <xf numFmtId="0" fontId="38" fillId="0" borderId="0" xfId="7" applyFont="1" applyBorder="1" applyAlignment="1" applyProtection="1">
      <alignment horizontal="right"/>
    </xf>
    <xf numFmtId="0" fontId="6" fillId="7" borderId="20" xfId="7" applyNumberFormat="1" applyFont="1" applyFill="1" applyBorder="1" applyAlignment="1" applyProtection="1">
      <alignment horizontal="center"/>
      <protection locked="0"/>
    </xf>
    <xf numFmtId="0" fontId="31" fillId="0" borderId="0" xfId="7" applyFont="1" applyAlignment="1" applyProtection="1">
      <alignment horizontal="left" wrapText="1"/>
    </xf>
    <xf numFmtId="0" fontId="49" fillId="0" borderId="0" xfId="0" applyFont="1" applyAlignment="1">
      <alignment horizontal="center"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4" fillId="0" borderId="22" xfId="0" applyFont="1" applyBorder="1" applyAlignment="1">
      <alignment horizontal="left" vertical="top"/>
    </xf>
    <xf numFmtId="0" fontId="14" fillId="0" borderId="7" xfId="0" applyFont="1" applyBorder="1" applyAlignment="1">
      <alignment horizontal="left" vertical="top"/>
    </xf>
    <xf numFmtId="0" fontId="14" fillId="6" borderId="22" xfId="0" applyFont="1" applyFill="1" applyBorder="1" applyAlignment="1">
      <alignment horizontal="left" vertical="top"/>
    </xf>
    <xf numFmtId="0" fontId="14" fillId="6" borderId="18" xfId="0" applyFont="1" applyFill="1" applyBorder="1" applyAlignment="1">
      <alignment horizontal="left" vertical="top"/>
    </xf>
    <xf numFmtId="0" fontId="14" fillId="6" borderId="7" xfId="0" applyFont="1" applyFill="1" applyBorder="1" applyAlignment="1">
      <alignment horizontal="left" vertical="top"/>
    </xf>
    <xf numFmtId="0" fontId="14" fillId="0" borderId="2" xfId="0" applyFont="1" applyBorder="1" applyAlignment="1">
      <alignment horizontal="center"/>
    </xf>
    <xf numFmtId="0" fontId="14" fillId="6" borderId="2" xfId="0" applyFont="1" applyFill="1" applyBorder="1" applyAlignment="1">
      <alignment horizontal="center"/>
    </xf>
    <xf numFmtId="0" fontId="14" fillId="0" borderId="27" xfId="0" applyFont="1" applyBorder="1" applyAlignment="1">
      <alignment horizontal="center"/>
    </xf>
    <xf numFmtId="0" fontId="14" fillId="0" borderId="3" xfId="0" applyFont="1" applyBorder="1" applyAlignment="1">
      <alignment horizontal="center"/>
    </xf>
    <xf numFmtId="0" fontId="14" fillId="0" borderId="23" xfId="0" applyFont="1" applyBorder="1" applyAlignment="1">
      <alignment horizontal="center"/>
    </xf>
    <xf numFmtId="0" fontId="14" fillId="0" borderId="26"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14" fillId="6" borderId="26" xfId="0" applyFont="1" applyFill="1" applyBorder="1" applyAlignment="1">
      <alignment horizontal="left"/>
    </xf>
    <xf numFmtId="0" fontId="14" fillId="6" borderId="21" xfId="0" applyFont="1" applyFill="1" applyBorder="1" applyAlignment="1">
      <alignment horizontal="left"/>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4" fillId="6" borderId="16" xfId="0" applyFont="1" applyFill="1" applyBorder="1" applyAlignment="1">
      <alignment horizontal="left"/>
    </xf>
    <xf numFmtId="0" fontId="14" fillId="6" borderId="24" xfId="0" applyFont="1" applyFill="1" applyBorder="1" applyAlignment="1">
      <alignment horizontal="left"/>
    </xf>
    <xf numFmtId="0" fontId="14" fillId="6" borderId="27" xfId="0" applyFont="1" applyFill="1" applyBorder="1" applyAlignment="1">
      <alignment horizontal="left"/>
    </xf>
    <xf numFmtId="0" fontId="14" fillId="6" borderId="23" xfId="0" applyFont="1" applyFill="1" applyBorder="1" applyAlignment="1">
      <alignment horizontal="left"/>
    </xf>
    <xf numFmtId="0" fontId="22" fillId="0" borderId="22" xfId="0" applyFont="1" applyBorder="1" applyAlignment="1">
      <alignment horizontal="left" vertical="top" wrapText="1"/>
    </xf>
    <xf numFmtId="0" fontId="22" fillId="0" borderId="18" xfId="0" applyFont="1" applyBorder="1" applyAlignment="1">
      <alignment horizontal="left" vertical="top"/>
    </xf>
    <xf numFmtId="0" fontId="22" fillId="0" borderId="7" xfId="0" applyFont="1" applyBorder="1" applyAlignment="1">
      <alignment horizontal="left" vertical="top"/>
    </xf>
    <xf numFmtId="0" fontId="14" fillId="0" borderId="22" xfId="0" applyFont="1" applyBorder="1" applyAlignment="1">
      <alignment horizontal="center" vertical="center"/>
    </xf>
    <xf numFmtId="0" fontId="14" fillId="0" borderId="7" xfId="0" applyFont="1" applyBorder="1" applyAlignment="1">
      <alignment horizontal="center" vertical="center"/>
    </xf>
    <xf numFmtId="0" fontId="14" fillId="6" borderId="4" xfId="0" applyFont="1" applyFill="1" applyBorder="1" applyAlignment="1">
      <alignment horizontal="center"/>
    </xf>
    <xf numFmtId="0" fontId="14" fillId="6" borderId="5" xfId="0" applyFont="1" applyFill="1" applyBorder="1" applyAlignment="1">
      <alignment horizontal="center"/>
    </xf>
    <xf numFmtId="0" fontId="14" fillId="6" borderId="6" xfId="0" applyFont="1" applyFill="1" applyBorder="1" applyAlignment="1">
      <alignment horizontal="center"/>
    </xf>
    <xf numFmtId="0" fontId="14" fillId="6" borderId="26" xfId="0" applyFont="1" applyFill="1" applyBorder="1" applyAlignment="1">
      <alignment horizontal="center"/>
    </xf>
    <xf numFmtId="0" fontId="14" fillId="6" borderId="20" xfId="0" applyFont="1" applyFill="1" applyBorder="1" applyAlignment="1">
      <alignment horizontal="center"/>
    </xf>
    <xf numFmtId="0" fontId="14" fillId="6" borderId="21" xfId="0" applyFont="1" applyFill="1" applyBorder="1" applyAlignment="1">
      <alignment horizont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20" xfId="0" applyFont="1" applyBorder="1" applyAlignment="1">
      <alignment horizontal="center" vertical="center"/>
    </xf>
    <xf numFmtId="0" fontId="14" fillId="6" borderId="27" xfId="0" applyFont="1" applyFill="1" applyBorder="1" applyAlignment="1">
      <alignment horizontal="center"/>
    </xf>
    <xf numFmtId="0" fontId="14" fillId="6" borderId="3" xfId="0" applyFont="1" applyFill="1" applyBorder="1" applyAlignment="1">
      <alignment horizontal="center"/>
    </xf>
    <xf numFmtId="0" fontId="14" fillId="6" borderId="23"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27" xfId="0" applyFont="1" applyBorder="1" applyAlignment="1">
      <alignment horizontal="left" vertical="top"/>
    </xf>
    <xf numFmtId="0" fontId="14" fillId="0" borderId="16" xfId="0" applyFont="1" applyBorder="1" applyAlignment="1">
      <alignment horizontal="left" vertical="top"/>
    </xf>
    <xf numFmtId="0" fontId="14" fillId="0" borderId="26" xfId="0" applyFont="1" applyBorder="1" applyAlignment="1">
      <alignment horizontal="left" vertical="top"/>
    </xf>
    <xf numFmtId="0" fontId="14" fillId="0" borderId="18" xfId="0" applyFont="1" applyBorder="1" applyAlignment="1">
      <alignment horizontal="left" vertical="top"/>
    </xf>
    <xf numFmtId="0" fontId="14" fillId="0" borderId="27" xfId="0" applyFont="1" applyBorder="1" applyAlignment="1">
      <alignment horizontal="left"/>
    </xf>
    <xf numFmtId="0" fontId="14" fillId="0" borderId="23" xfId="0" applyFont="1" applyBorder="1" applyAlignment="1">
      <alignment horizontal="left"/>
    </xf>
    <xf numFmtId="0" fontId="14" fillId="0" borderId="16" xfId="0" applyFont="1" applyBorder="1" applyAlignment="1">
      <alignment horizontal="left"/>
    </xf>
    <xf numFmtId="0" fontId="14" fillId="0" borderId="24" xfId="0" applyFont="1" applyBorder="1" applyAlignment="1">
      <alignment horizontal="left"/>
    </xf>
    <xf numFmtId="0" fontId="14" fillId="0" borderId="26" xfId="0" applyFont="1" applyBorder="1" applyAlignment="1">
      <alignment horizontal="left"/>
    </xf>
    <xf numFmtId="0" fontId="14" fillId="0" borderId="21" xfId="0" applyFont="1" applyBorder="1" applyAlignment="1">
      <alignment horizontal="left"/>
    </xf>
    <xf numFmtId="0" fontId="49" fillId="0" borderId="0" xfId="0" applyFont="1" applyAlignment="1">
      <alignment horizontal="left" vertical="top" wrapText="1"/>
    </xf>
    <xf numFmtId="0" fontId="1" fillId="0" borderId="25" xfId="0" applyFont="1" applyFill="1" applyBorder="1" applyAlignment="1">
      <alignment horizontal="left" vertical="top" wrapText="1"/>
    </xf>
    <xf numFmtId="0" fontId="22" fillId="0" borderId="0" xfId="0" applyFont="1" applyBorder="1" applyAlignment="1">
      <alignment horizontal="left" vertical="center"/>
    </xf>
    <xf numFmtId="0" fontId="1" fillId="0" borderId="25" xfId="0" applyFont="1" applyFill="1" applyBorder="1" applyAlignment="1">
      <alignment horizontal="left" vertical="top"/>
    </xf>
    <xf numFmtId="0" fontId="2" fillId="0" borderId="14" xfId="0" applyFont="1" applyBorder="1" applyAlignment="1">
      <alignment horizontal="left" vertical="center"/>
    </xf>
    <xf numFmtId="0" fontId="22" fillId="0" borderId="0" xfId="0" applyFont="1" applyBorder="1" applyAlignment="1">
      <alignment horizontal="center" vertical="center"/>
    </xf>
    <xf numFmtId="0" fontId="1" fillId="7" borderId="20" xfId="0" applyFont="1" applyFill="1" applyBorder="1" applyAlignment="1" applyProtection="1">
      <alignment horizontal="left" vertical="top" wrapText="1"/>
      <protection locked="0"/>
    </xf>
    <xf numFmtId="0" fontId="0" fillId="7" borderId="20" xfId="0" applyFill="1" applyBorder="1" applyAlignment="1" applyProtection="1">
      <alignment horizontal="left" vertical="top" wrapText="1"/>
      <protection locked="0"/>
    </xf>
    <xf numFmtId="0" fontId="1" fillId="0" borderId="0" xfId="0" applyFont="1" applyAlignment="1">
      <alignment horizontal="left" vertical="top"/>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172" fontId="1" fillId="0" borderId="0" xfId="0" applyNumberFormat="1" applyFont="1" applyAlignment="1">
      <alignment horizontal="left"/>
    </xf>
    <xf numFmtId="14" fontId="0" fillId="0" borderId="0" xfId="0" applyNumberFormat="1" applyAlignment="1" applyProtection="1">
      <alignment horizontal="left"/>
      <protection locked="0"/>
    </xf>
    <xf numFmtId="0" fontId="1" fillId="0" borderId="0" xfId="0" applyFont="1" applyAlignment="1">
      <alignment horizontal="left"/>
    </xf>
    <xf numFmtId="0" fontId="1" fillId="7" borderId="20" xfId="0" applyFont="1" applyFill="1" applyBorder="1" applyAlignment="1" applyProtection="1">
      <alignment horizontal="left"/>
      <protection locked="0"/>
    </xf>
    <xf numFmtId="0" fontId="0" fillId="7" borderId="20" xfId="0" applyFill="1" applyBorder="1" applyAlignment="1" applyProtection="1">
      <alignment horizontal="left"/>
      <protection locked="0"/>
    </xf>
    <xf numFmtId="0" fontId="1" fillId="0" borderId="8" xfId="0" applyFont="1" applyBorder="1" applyAlignment="1">
      <alignment horizontal="left" vertical="top"/>
    </xf>
    <xf numFmtId="0" fontId="1" fillId="0" borderId="0" xfId="0" applyFont="1" applyFill="1" applyBorder="1" applyAlignment="1">
      <alignment horizontal="left" vertical="top" wrapText="1"/>
    </xf>
    <xf numFmtId="0" fontId="1" fillId="6" borderId="26" xfId="0" applyFont="1" applyFill="1" applyBorder="1" applyAlignment="1">
      <alignment horizontal="left" vertical="center"/>
    </xf>
    <xf numFmtId="0" fontId="1" fillId="6" borderId="21" xfId="0" applyFont="1" applyFill="1" applyBorder="1" applyAlignment="1">
      <alignment horizontal="left" vertical="center"/>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6" borderId="27" xfId="0" applyFont="1" applyFill="1" applyBorder="1" applyAlignment="1">
      <alignment horizontal="left" vertical="center"/>
    </xf>
    <xf numFmtId="0" fontId="2" fillId="6" borderId="23" xfId="0" applyFont="1" applyFill="1" applyBorder="1" applyAlignment="1">
      <alignment horizontal="left" vertical="center"/>
    </xf>
    <xf numFmtId="0" fontId="1" fillId="0" borderId="2" xfId="0" applyFont="1" applyBorder="1" applyAlignment="1">
      <alignment horizontal="left" vertical="center"/>
    </xf>
    <xf numFmtId="0" fontId="2" fillId="6" borderId="16" xfId="0" applyFont="1" applyFill="1" applyBorder="1" applyAlignment="1">
      <alignment horizontal="left" vertical="center"/>
    </xf>
    <xf numFmtId="0" fontId="2" fillId="6" borderId="24" xfId="0" applyFont="1" applyFill="1" applyBorder="1" applyAlignment="1">
      <alignment horizontal="left" vertical="center"/>
    </xf>
    <xf numFmtId="0" fontId="2" fillId="6" borderId="26" xfId="0" applyFont="1" applyFill="1" applyBorder="1" applyAlignment="1">
      <alignment horizontal="left" vertical="center"/>
    </xf>
    <xf numFmtId="0" fontId="2" fillId="6" borderId="21" xfId="0" applyFont="1" applyFill="1" applyBorder="1" applyAlignment="1">
      <alignment horizontal="left" vertical="center"/>
    </xf>
    <xf numFmtId="0" fontId="2" fillId="6" borderId="2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2" fillId="0" borderId="20" xfId="0" applyFont="1" applyBorder="1" applyAlignment="1">
      <alignment horizontal="left"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7" xfId="0" applyFont="1" applyFill="1" applyBorder="1" applyAlignment="1">
      <alignment horizontal="center" vertical="center"/>
    </xf>
    <xf numFmtId="0" fontId="1" fillId="0" borderId="27" xfId="0" applyFont="1" applyBorder="1" applyAlignment="1">
      <alignment horizontal="left" vertical="top"/>
    </xf>
    <xf numFmtId="0" fontId="1" fillId="0" borderId="23" xfId="0" applyFont="1" applyBorder="1" applyAlignment="1">
      <alignment horizontal="left" vertical="top"/>
    </xf>
    <xf numFmtId="0" fontId="1" fillId="0" borderId="18" xfId="0" applyFont="1" applyBorder="1" applyAlignment="1">
      <alignment horizontal="left" vertical="top"/>
    </xf>
    <xf numFmtId="0" fontId="1" fillId="0" borderId="26" xfId="0" applyFont="1" applyBorder="1" applyAlignment="1">
      <alignment horizontal="left" vertical="top"/>
    </xf>
    <xf numFmtId="0" fontId="1" fillId="0" borderId="21" xfId="0" applyFont="1" applyBorder="1" applyAlignment="1">
      <alignment horizontal="left" vertical="top"/>
    </xf>
    <xf numFmtId="0" fontId="1" fillId="0" borderId="18" xfId="0" applyFont="1" applyBorder="1" applyAlignment="1">
      <alignment horizontal="center" vertical="top" wrapText="1"/>
    </xf>
    <xf numFmtId="0" fontId="1" fillId="0" borderId="7" xfId="0" applyFont="1" applyBorder="1" applyAlignment="1">
      <alignment horizontal="center" vertical="top" wrapText="1"/>
    </xf>
    <xf numFmtId="0" fontId="6" fillId="0" borderId="1" xfId="0" applyFont="1" applyBorder="1" applyAlignment="1" applyProtection="1">
      <alignment horizontal="left" vertical="center"/>
    </xf>
    <xf numFmtId="0" fontId="6" fillId="0" borderId="0" xfId="0" applyFont="1" applyBorder="1" applyAlignment="1" applyProtection="1">
      <alignment horizontal="left" vertical="center"/>
    </xf>
    <xf numFmtId="2" fontId="6" fillId="0" borderId="0" xfId="1" applyNumberFormat="1" applyFont="1" applyFill="1" applyBorder="1" applyAlignment="1" applyProtection="1">
      <alignment horizontal="right" vertical="center" indent="1"/>
    </xf>
    <xf numFmtId="2" fontId="6" fillId="0" borderId="9" xfId="1" applyNumberFormat="1" applyFont="1" applyFill="1" applyBorder="1" applyAlignment="1" applyProtection="1">
      <alignment horizontal="right" vertical="center" indent="1"/>
    </xf>
    <xf numFmtId="1" fontId="6" fillId="0" borderId="0" xfId="1" applyNumberFormat="1" applyFont="1" applyFill="1" applyBorder="1" applyAlignment="1" applyProtection="1">
      <alignment horizontal="right" vertical="center" indent="1"/>
    </xf>
    <xf numFmtId="1" fontId="6" fillId="0" borderId="9" xfId="1" applyNumberFormat="1" applyFont="1" applyFill="1" applyBorder="1" applyAlignment="1" applyProtection="1">
      <alignment horizontal="right" vertical="center" indent="1"/>
    </xf>
    <xf numFmtId="2" fontId="6" fillId="0" borderId="0" xfId="1" applyNumberFormat="1" applyFont="1" applyFill="1" applyBorder="1" applyAlignment="1" applyProtection="1">
      <alignment horizontal="right" vertical="center"/>
    </xf>
    <xf numFmtId="2" fontId="6" fillId="0" borderId="9" xfId="1" applyNumberFormat="1" applyFont="1" applyFill="1" applyBorder="1" applyAlignment="1" applyProtection="1">
      <alignment horizontal="right" vertical="center"/>
    </xf>
    <xf numFmtId="1" fontId="6" fillId="0" borderId="0" xfId="0" applyNumberFormat="1" applyFont="1" applyBorder="1" applyAlignment="1" applyProtection="1">
      <alignment horizontal="right" vertical="center" indent="1"/>
    </xf>
    <xf numFmtId="1" fontId="6" fillId="0" borderId="9" xfId="0" applyNumberFormat="1" applyFont="1" applyBorder="1" applyAlignment="1" applyProtection="1">
      <alignment horizontal="right" vertical="center" indent="1"/>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9" fillId="12" borderId="14" xfId="0" applyFont="1" applyFill="1" applyBorder="1" applyAlignment="1" applyProtection="1">
      <alignment vertical="center"/>
    </xf>
    <xf numFmtId="2" fontId="6" fillId="0" borderId="0" xfId="1" applyNumberFormat="1" applyFont="1" applyBorder="1" applyAlignment="1" applyProtection="1">
      <alignment horizontal="right" vertical="center"/>
    </xf>
    <xf numFmtId="2" fontId="6" fillId="0" borderId="9" xfId="1" applyNumberFormat="1" applyFont="1" applyBorder="1" applyAlignment="1" applyProtection="1">
      <alignment horizontal="right" vertical="center"/>
    </xf>
    <xf numFmtId="167" fontId="6" fillId="0" borderId="0" xfId="1" applyNumberFormat="1" applyFont="1" applyFill="1" applyBorder="1" applyAlignment="1" applyProtection="1">
      <alignment horizontal="right" vertical="center"/>
    </xf>
    <xf numFmtId="167" fontId="6" fillId="0" borderId="9" xfId="1" applyNumberFormat="1" applyFont="1" applyFill="1" applyBorder="1" applyAlignment="1" applyProtection="1">
      <alignment horizontal="right" vertical="center"/>
    </xf>
    <xf numFmtId="0" fontId="9" fillId="12" borderId="13" xfId="0" applyFont="1" applyFill="1" applyBorder="1" applyAlignment="1" applyProtection="1">
      <alignment vertical="center"/>
    </xf>
    <xf numFmtId="2" fontId="9" fillId="12" borderId="14" xfId="1" applyNumberFormat="1" applyFont="1" applyFill="1" applyBorder="1" applyAlignment="1" applyProtection="1">
      <alignment horizontal="right" vertical="center" indent="1"/>
    </xf>
    <xf numFmtId="2" fontId="9" fillId="12" borderId="15" xfId="1" applyNumberFormat="1" applyFont="1" applyFill="1" applyBorder="1" applyAlignment="1" applyProtection="1">
      <alignment horizontal="right" vertical="center" indent="1"/>
    </xf>
    <xf numFmtId="0" fontId="9" fillId="13" borderId="10" xfId="0" applyFont="1" applyFill="1" applyBorder="1" applyAlignment="1" applyProtection="1">
      <alignment horizontal="center" vertical="center"/>
    </xf>
    <xf numFmtId="0" fontId="9" fillId="13" borderId="11" xfId="0" applyFont="1" applyFill="1" applyBorder="1" applyAlignment="1" applyProtection="1">
      <alignment horizontal="center" vertical="center"/>
    </xf>
    <xf numFmtId="0" fontId="9" fillId="13" borderId="12" xfId="0" applyFont="1" applyFill="1" applyBorder="1" applyAlignment="1" applyProtection="1">
      <alignment horizontal="center" vertical="center"/>
    </xf>
    <xf numFmtId="0" fontId="14" fillId="0" borderId="2" xfId="0" applyFont="1" applyFill="1" applyBorder="1" applyAlignment="1" applyProtection="1">
      <alignment horizontal="left" vertical="top"/>
    </xf>
    <xf numFmtId="0" fontId="9" fillId="13" borderId="31" xfId="0" applyFont="1" applyFill="1" applyBorder="1" applyAlignment="1" applyProtection="1">
      <alignment horizontal="center" vertical="center"/>
    </xf>
    <xf numFmtId="0" fontId="9" fillId="13" borderId="32" xfId="0" applyFont="1" applyFill="1" applyBorder="1" applyAlignment="1" applyProtection="1">
      <alignment horizontal="center" vertical="center"/>
    </xf>
    <xf numFmtId="0" fontId="9" fillId="13" borderId="33" xfId="0" applyFont="1" applyFill="1" applyBorder="1" applyAlignment="1" applyProtection="1">
      <alignment horizontal="center" vertical="center"/>
    </xf>
    <xf numFmtId="0" fontId="9" fillId="13" borderId="1" xfId="0" applyFont="1" applyFill="1" applyBorder="1" applyAlignment="1" applyProtection="1">
      <alignment horizontal="center" vertical="center"/>
    </xf>
    <xf numFmtId="0" fontId="9" fillId="13" borderId="0" xfId="0" applyFont="1" applyFill="1" applyBorder="1" applyAlignment="1" applyProtection="1">
      <alignment horizontal="center" vertical="center"/>
    </xf>
    <xf numFmtId="0" fontId="9" fillId="13" borderId="9" xfId="0" applyFont="1" applyFill="1" applyBorder="1" applyAlignment="1" applyProtection="1">
      <alignment horizontal="center" vertical="center"/>
    </xf>
    <xf numFmtId="0" fontId="9" fillId="11" borderId="2" xfId="0" applyFont="1" applyFill="1" applyBorder="1" applyAlignment="1" applyProtection="1">
      <alignment horizontal="left" wrapText="1"/>
    </xf>
    <xf numFmtId="43" fontId="6" fillId="0" borderId="2" xfId="1" applyFont="1" applyFill="1" applyBorder="1" applyAlignment="1" applyProtection="1">
      <alignment horizontal="center"/>
    </xf>
    <xf numFmtId="43" fontId="9" fillId="11" borderId="2" xfId="1" applyFont="1" applyFill="1" applyBorder="1" applyAlignment="1" applyProtection="1">
      <alignment horizontal="center"/>
    </xf>
    <xf numFmtId="43" fontId="9" fillId="0" borderId="2" xfId="1" applyFont="1" applyFill="1" applyBorder="1" applyAlignment="1" applyProtection="1">
      <alignment horizontal="center"/>
    </xf>
    <xf numFmtId="43" fontId="9" fillId="7" borderId="2" xfId="1" applyFont="1" applyFill="1" applyBorder="1" applyAlignment="1" applyProtection="1">
      <alignment horizontal="center"/>
      <protection locked="0"/>
    </xf>
    <xf numFmtId="0" fontId="6" fillId="0" borderId="2" xfId="0" applyFont="1" applyBorder="1" applyAlignment="1" applyProtection="1">
      <alignment horizontal="left"/>
    </xf>
    <xf numFmtId="49" fontId="6" fillId="7" borderId="2" xfId="0" applyNumberFormat="1" applyFont="1" applyFill="1" applyBorder="1" applyAlignment="1" applyProtection="1">
      <alignment horizontal="left" wrapText="1" shrinkToFit="1"/>
      <protection locked="0"/>
    </xf>
    <xf numFmtId="43" fontId="9" fillId="11" borderId="7" xfId="1" applyFont="1" applyFill="1" applyBorder="1" applyAlignment="1" applyProtection="1">
      <alignment horizontal="center"/>
    </xf>
    <xf numFmtId="49" fontId="6" fillId="7" borderId="7" xfId="0" applyNumberFormat="1" applyFont="1" applyFill="1" applyBorder="1" applyAlignment="1" applyProtection="1">
      <alignment horizontal="left" wrapText="1" shrinkToFit="1"/>
      <protection locked="0"/>
    </xf>
    <xf numFmtId="0" fontId="14" fillId="0" borderId="2" xfId="0" applyFont="1" applyBorder="1" applyAlignment="1" applyProtection="1">
      <alignment horizontal="center"/>
    </xf>
    <xf numFmtId="0" fontId="16" fillId="7" borderId="20" xfId="0" applyFont="1" applyFill="1" applyBorder="1" applyAlignment="1" applyProtection="1">
      <alignment horizontal="left"/>
      <protection locked="0"/>
    </xf>
    <xf numFmtId="0" fontId="81" fillId="0" borderId="20" xfId="0" applyFont="1" applyFill="1" applyBorder="1" applyAlignment="1" applyProtection="1">
      <alignment horizontal="right"/>
    </xf>
    <xf numFmtId="0" fontId="6" fillId="7" borderId="2" xfId="0" applyFont="1" applyFill="1" applyBorder="1" applyAlignment="1" applyProtection="1">
      <alignment horizontal="left"/>
      <protection locked="0"/>
    </xf>
    <xf numFmtId="0" fontId="16" fillId="7" borderId="0" xfId="0" applyFont="1" applyFill="1" applyBorder="1" applyAlignment="1" applyProtection="1">
      <alignment horizontal="left"/>
      <protection locked="0"/>
    </xf>
    <xf numFmtId="0" fontId="22" fillId="9" borderId="4" xfId="0" applyFont="1" applyFill="1" applyBorder="1" applyAlignment="1" applyProtection="1">
      <alignment horizontal="left" vertical="center"/>
    </xf>
    <xf numFmtId="0" fontId="22" fillId="9" borderId="5" xfId="0" applyFont="1" applyFill="1" applyBorder="1" applyAlignment="1" applyProtection="1">
      <alignment horizontal="left" vertical="center"/>
    </xf>
    <xf numFmtId="0" fontId="22" fillId="9" borderId="6" xfId="0" applyFont="1" applyFill="1" applyBorder="1" applyAlignment="1" applyProtection="1">
      <alignment horizontal="left" vertical="center"/>
    </xf>
    <xf numFmtId="0" fontId="22" fillId="9" borderId="4" xfId="0" applyFont="1" applyFill="1" applyBorder="1" applyAlignment="1" applyProtection="1">
      <alignment horizontal="center" vertical="center"/>
    </xf>
    <xf numFmtId="0" fontId="22" fillId="9" borderId="5" xfId="0" applyFont="1" applyFill="1" applyBorder="1" applyAlignment="1" applyProtection="1">
      <alignment horizontal="center" vertical="center"/>
    </xf>
    <xf numFmtId="0" fontId="16" fillId="0" borderId="0" xfId="0" applyFont="1" applyAlignment="1" applyProtection="1">
      <alignment horizontal="left"/>
    </xf>
    <xf numFmtId="0" fontId="16" fillId="0" borderId="0" xfId="0" applyFont="1" applyBorder="1" applyAlignment="1" applyProtection="1">
      <alignment horizontal="left"/>
    </xf>
    <xf numFmtId="0" fontId="75" fillId="0" borderId="0" xfId="0" applyFont="1" applyBorder="1" applyAlignment="1" applyProtection="1">
      <alignment horizontal="left"/>
    </xf>
    <xf numFmtId="0" fontId="6" fillId="7" borderId="2" xfId="0" applyFont="1" applyFill="1" applyBorder="1" applyAlignment="1" applyProtection="1">
      <alignment horizontal="left" vertical="center" wrapText="1"/>
      <protection locked="0"/>
    </xf>
    <xf numFmtId="0" fontId="15" fillId="0" borderId="4" xfId="0" applyFont="1" applyBorder="1" applyAlignment="1" applyProtection="1">
      <alignment horizontal="center"/>
    </xf>
    <xf numFmtId="0" fontId="15" fillId="0" borderId="5" xfId="0" applyFont="1" applyBorder="1" applyAlignment="1" applyProtection="1">
      <alignment horizontal="center"/>
    </xf>
    <xf numFmtId="0" fontId="15" fillId="0" borderId="6" xfId="0" applyFont="1" applyBorder="1" applyAlignment="1" applyProtection="1">
      <alignment horizontal="center"/>
    </xf>
    <xf numFmtId="0" fontId="80" fillId="0" borderId="16" xfId="3" applyFont="1" applyBorder="1" applyAlignment="1" applyProtection="1">
      <alignment horizontal="center" vertical="center" textRotation="90"/>
    </xf>
    <xf numFmtId="0" fontId="80" fillId="0" borderId="26" xfId="3" applyFont="1" applyBorder="1" applyAlignment="1" applyProtection="1">
      <alignment horizontal="center" vertical="center" textRotation="90"/>
    </xf>
    <xf numFmtId="0" fontId="6" fillId="7" borderId="7" xfId="0" applyNumberFormat="1" applyFont="1" applyFill="1" applyBorder="1" applyAlignment="1" applyProtection="1">
      <alignment horizontal="left" wrapText="1" shrinkToFit="1"/>
      <protection locked="0"/>
    </xf>
    <xf numFmtId="0" fontId="6" fillId="7" borderId="2" xfId="0" applyFont="1" applyFill="1" applyBorder="1" applyAlignment="1" applyProtection="1">
      <alignment horizontal="left" wrapText="1"/>
      <protection locked="0"/>
    </xf>
    <xf numFmtId="49" fontId="6" fillId="7" borderId="4" xfId="0" applyNumberFormat="1" applyFont="1" applyFill="1" applyBorder="1" applyAlignment="1" applyProtection="1">
      <alignment horizontal="left"/>
      <protection locked="0"/>
    </xf>
    <xf numFmtId="49" fontId="6" fillId="7" borderId="5" xfId="0" applyNumberFormat="1" applyFont="1" applyFill="1" applyBorder="1" applyAlignment="1" applyProtection="1">
      <alignment horizontal="left"/>
      <protection locked="0"/>
    </xf>
    <xf numFmtId="49" fontId="6" fillId="7" borderId="6" xfId="0" applyNumberFormat="1" applyFont="1" applyFill="1" applyBorder="1" applyAlignment="1" applyProtection="1">
      <alignment horizontal="left"/>
      <protection locked="0"/>
    </xf>
    <xf numFmtId="0" fontId="59" fillId="7" borderId="2" xfId="3" applyFill="1" applyBorder="1" applyAlignment="1" applyProtection="1">
      <alignment horizontal="left"/>
      <protection locked="0"/>
    </xf>
    <xf numFmtId="49" fontId="6" fillId="7" borderId="2" xfId="0" applyNumberFormat="1" applyFont="1" applyFill="1" applyBorder="1" applyAlignment="1" applyProtection="1">
      <alignment horizontal="left" wrapText="1"/>
      <protection locked="0"/>
    </xf>
    <xf numFmtId="0" fontId="1" fillId="0" borderId="3" xfId="0" applyFont="1" applyFill="1" applyBorder="1" applyAlignment="1" applyProtection="1">
      <alignment horizontal="center"/>
    </xf>
    <xf numFmtId="43" fontId="9" fillId="3" borderId="2" xfId="1" applyFont="1" applyFill="1" applyBorder="1" applyAlignment="1" applyProtection="1">
      <alignment horizontal="center"/>
    </xf>
    <xf numFmtId="14" fontId="6" fillId="7" borderId="2" xfId="0" applyNumberFormat="1" applyFont="1" applyFill="1" applyBorder="1" applyAlignment="1" applyProtection="1">
      <alignment horizontal="left" wrapText="1" shrinkToFit="1"/>
      <protection locked="0"/>
    </xf>
    <xf numFmtId="170" fontId="6" fillId="7" borderId="4" xfId="0" applyNumberFormat="1" applyFont="1" applyFill="1" applyBorder="1" applyAlignment="1" applyProtection="1">
      <alignment wrapText="1" shrinkToFit="1"/>
      <protection locked="0"/>
    </xf>
    <xf numFmtId="170" fontId="6" fillId="7" borderId="6" xfId="0" applyNumberFormat="1" applyFont="1" applyFill="1" applyBorder="1" applyAlignment="1" applyProtection="1">
      <alignment wrapText="1" shrinkToFit="1"/>
      <protection locked="0"/>
    </xf>
    <xf numFmtId="43" fontId="15" fillId="3" borderId="22" xfId="1" applyFont="1" applyFill="1" applyBorder="1" applyAlignment="1" applyProtection="1">
      <alignment horizontal="center"/>
    </xf>
    <xf numFmtId="2" fontId="6" fillId="0" borderId="0" xfId="1" applyNumberFormat="1" applyFont="1" applyBorder="1" applyAlignment="1" applyProtection="1">
      <alignment horizontal="right" vertical="center" indent="1"/>
    </xf>
    <xf numFmtId="2" fontId="6" fillId="0" borderId="9" xfId="1" applyNumberFormat="1" applyFont="1" applyBorder="1" applyAlignment="1" applyProtection="1">
      <alignment horizontal="right" vertical="center" indent="1"/>
    </xf>
    <xf numFmtId="0" fontId="1" fillId="7" borderId="3" xfId="0" applyFont="1" applyFill="1" applyBorder="1" applyAlignment="1" applyProtection="1">
      <alignment horizontal="left"/>
      <protection locked="0"/>
    </xf>
    <xf numFmtId="14" fontId="0" fillId="0" borderId="3" xfId="0" applyNumberFormat="1" applyBorder="1" applyAlignment="1" applyProtection="1">
      <alignment horizontal="center"/>
      <protection locked="0"/>
    </xf>
    <xf numFmtId="0" fontId="9" fillId="12" borderId="13" xfId="0" applyFont="1" applyFill="1" applyBorder="1" applyAlignment="1" applyProtection="1">
      <alignment horizontal="left" vertical="center"/>
    </xf>
    <xf numFmtId="0" fontId="9" fillId="12" borderId="14" xfId="0" applyFont="1" applyFill="1" applyBorder="1" applyAlignment="1" applyProtection="1">
      <alignment horizontal="left" vertical="center"/>
    </xf>
    <xf numFmtId="43" fontId="9" fillId="12" borderId="14" xfId="1" applyFont="1" applyFill="1" applyBorder="1" applyAlignment="1" applyProtection="1">
      <alignment vertical="center"/>
    </xf>
    <xf numFmtId="43" fontId="9" fillId="12" borderId="15" xfId="1" applyFont="1" applyFill="1" applyBorder="1" applyAlignment="1" applyProtection="1">
      <alignment vertical="center"/>
    </xf>
    <xf numFmtId="0" fontId="16" fillId="7" borderId="0" xfId="0" applyFont="1" applyFill="1" applyAlignment="1" applyProtection="1">
      <alignment horizontal="left"/>
      <protection locked="0"/>
    </xf>
    <xf numFmtId="0" fontId="20" fillId="0" borderId="0" xfId="0" applyFont="1" applyBorder="1" applyAlignment="1" applyProtection="1">
      <alignment horizontal="left"/>
    </xf>
    <xf numFmtId="14" fontId="6" fillId="7" borderId="7" xfId="0" applyNumberFormat="1" applyFont="1" applyFill="1" applyBorder="1" applyAlignment="1" applyProtection="1">
      <alignment horizontal="left" wrapText="1" shrinkToFit="1"/>
      <protection locked="0"/>
    </xf>
    <xf numFmtId="0" fontId="16" fillId="0" borderId="20" xfId="0" applyFont="1" applyBorder="1" applyAlignment="1" applyProtection="1">
      <alignment horizontal="left"/>
    </xf>
    <xf numFmtId="0" fontId="15" fillId="0" borderId="2" xfId="0" applyFont="1" applyBorder="1" applyAlignment="1" applyProtection="1">
      <alignment horizontal="left"/>
    </xf>
    <xf numFmtId="0" fontId="6" fillId="7" borderId="2" xfId="0" applyNumberFormat="1" applyFont="1" applyFill="1" applyBorder="1" applyAlignment="1" applyProtection="1">
      <alignment horizontal="left" wrapText="1" shrinkToFit="1"/>
      <protection locked="0"/>
    </xf>
    <xf numFmtId="43" fontId="15" fillId="15" borderId="4" xfId="1" applyFont="1" applyFill="1" applyBorder="1" applyAlignment="1" applyProtection="1">
      <alignment horizontal="center"/>
    </xf>
    <xf numFmtId="43" fontId="15" fillId="15" borderId="6" xfId="1" applyFont="1" applyFill="1" applyBorder="1" applyAlignment="1" applyProtection="1">
      <alignment horizontal="center"/>
    </xf>
    <xf numFmtId="0" fontId="15" fillId="0" borderId="4" xfId="0" applyFont="1" applyBorder="1" applyAlignment="1" applyProtection="1">
      <alignment horizontal="left"/>
    </xf>
    <xf numFmtId="0" fontId="15" fillId="0" borderId="5" xfId="0" applyFont="1" applyBorder="1" applyAlignment="1" applyProtection="1">
      <alignment horizontal="left"/>
    </xf>
    <xf numFmtId="0" fontId="15" fillId="0" borderId="6" xfId="0" applyFont="1" applyBorder="1" applyAlignment="1" applyProtection="1">
      <alignment horizontal="left"/>
    </xf>
    <xf numFmtId="0" fontId="9" fillId="0" borderId="2" xfId="0" applyFont="1" applyBorder="1" applyAlignment="1" applyProtection="1">
      <alignment horizontal="right"/>
    </xf>
    <xf numFmtId="0" fontId="9" fillId="0" borderId="2" xfId="0" applyFont="1" applyBorder="1" applyAlignment="1" applyProtection="1">
      <alignment horizontal="left" wrapText="1"/>
    </xf>
    <xf numFmtId="0" fontId="9" fillId="11" borderId="2" xfId="0" applyFont="1" applyFill="1" applyBorder="1" applyAlignment="1" applyProtection="1">
      <alignment horizontal="right"/>
    </xf>
    <xf numFmtId="0" fontId="1" fillId="0" borderId="3" xfId="0" applyFont="1" applyBorder="1" applyAlignment="1" applyProtection="1">
      <alignment horizontal="right"/>
    </xf>
    <xf numFmtId="0" fontId="16" fillId="7" borderId="0" xfId="0" applyFont="1" applyFill="1" applyBorder="1" applyAlignment="1" applyProtection="1">
      <alignment horizontal="center"/>
      <protection locked="0"/>
    </xf>
    <xf numFmtId="0" fontId="16" fillId="0" borderId="0" xfId="0" applyFont="1" applyAlignment="1" applyProtection="1">
      <alignment horizontal="right"/>
    </xf>
    <xf numFmtId="0" fontId="1" fillId="0" borderId="3" xfId="0" applyFont="1" applyBorder="1" applyAlignment="1" applyProtection="1">
      <alignment horizontal="left"/>
      <protection locked="0"/>
    </xf>
    <xf numFmtId="0" fontId="1" fillId="0" borderId="0" xfId="0" applyFont="1" applyBorder="1" applyAlignment="1" applyProtection="1">
      <alignment horizontal="left"/>
      <protection locked="0"/>
    </xf>
    <xf numFmtId="43" fontId="1" fillId="0" borderId="0" xfId="1" applyFont="1" applyAlignment="1" applyProtection="1">
      <alignment horizontal="left"/>
      <protection locked="0"/>
    </xf>
    <xf numFmtId="0" fontId="16" fillId="9" borderId="4" xfId="6" applyFont="1" applyFill="1" applyBorder="1" applyAlignment="1" applyProtection="1">
      <alignment horizontal="left"/>
    </xf>
    <xf numFmtId="0" fontId="16" fillId="9" borderId="6" xfId="6" applyFont="1" applyFill="1" applyBorder="1" applyAlignment="1" applyProtection="1">
      <alignment horizontal="left"/>
    </xf>
    <xf numFmtId="0" fontId="16" fillId="9" borderId="5" xfId="6" applyFont="1" applyFill="1" applyBorder="1" applyAlignment="1" applyProtection="1">
      <alignment horizontal="left"/>
    </xf>
    <xf numFmtId="0" fontId="2" fillId="0" borderId="4" xfId="6" applyFont="1" applyFill="1" applyBorder="1" applyAlignment="1">
      <alignment horizontal="left"/>
    </xf>
    <xf numFmtId="0" fontId="2" fillId="0" borderId="5" xfId="6" applyFont="1" applyFill="1" applyBorder="1" applyAlignment="1">
      <alignment horizontal="left"/>
    </xf>
    <xf numFmtId="0" fontId="2" fillId="0" borderId="6" xfId="6" applyFont="1" applyFill="1" applyBorder="1" applyAlignment="1">
      <alignment horizontal="left"/>
    </xf>
    <xf numFmtId="0" fontId="4" fillId="0" borderId="4" xfId="6" applyFont="1" applyBorder="1" applyAlignment="1">
      <alignment horizontal="left"/>
    </xf>
    <xf numFmtId="0" fontId="4" fillId="0" borderId="5" xfId="6" applyFont="1" applyBorder="1" applyAlignment="1">
      <alignment horizontal="left"/>
    </xf>
    <xf numFmtId="0" fontId="4" fillId="0" borderId="6" xfId="6" applyFont="1" applyBorder="1" applyAlignment="1">
      <alignment horizontal="left"/>
    </xf>
    <xf numFmtId="0" fontId="58" fillId="6" borderId="4" xfId="6" applyFont="1" applyFill="1" applyBorder="1" applyAlignment="1">
      <alignment horizontal="left"/>
    </xf>
    <xf numFmtId="0" fontId="58" fillId="6" borderId="5" xfId="6" applyFont="1" applyFill="1" applyBorder="1" applyAlignment="1">
      <alignment horizontal="left"/>
    </xf>
    <xf numFmtId="0" fontId="83" fillId="6" borderId="5" xfId="6" applyFont="1" applyFill="1" applyBorder="1" applyAlignment="1">
      <alignment horizontal="center"/>
    </xf>
    <xf numFmtId="0" fontId="83" fillId="6" borderId="6" xfId="6" applyFont="1" applyFill="1" applyBorder="1" applyAlignment="1">
      <alignment horizontal="center"/>
    </xf>
    <xf numFmtId="0" fontId="2" fillId="0" borderId="4" xfId="5" applyFont="1" applyFill="1" applyBorder="1" applyAlignment="1">
      <alignment horizontal="left"/>
    </xf>
    <xf numFmtId="0" fontId="2" fillId="0" borderId="5" xfId="5" applyFont="1" applyFill="1" applyBorder="1" applyAlignment="1">
      <alignment horizontal="left"/>
    </xf>
    <xf numFmtId="0" fontId="4" fillId="6" borderId="4" xfId="6" applyFont="1" applyFill="1" applyBorder="1" applyAlignment="1">
      <alignment horizontal="left"/>
    </xf>
    <xf numFmtId="0" fontId="4" fillId="6" borderId="5" xfId="6" applyFont="1" applyFill="1" applyBorder="1" applyAlignment="1">
      <alignment horizontal="left"/>
    </xf>
    <xf numFmtId="0" fontId="2" fillId="6" borderId="4" xfId="6" applyFont="1" applyFill="1" applyBorder="1" applyAlignment="1">
      <alignment horizontal="left"/>
    </xf>
    <xf numFmtId="0" fontId="2" fillId="6" borderId="5" xfId="6" applyFont="1" applyFill="1" applyBorder="1" applyAlignment="1">
      <alignment horizontal="left"/>
    </xf>
    <xf numFmtId="0" fontId="2" fillId="6" borderId="6" xfId="6" applyFont="1" applyFill="1" applyBorder="1" applyAlignment="1">
      <alignment horizontal="left"/>
    </xf>
    <xf numFmtId="0" fontId="1" fillId="0" borderId="2" xfId="6" applyFont="1" applyBorder="1" applyAlignment="1">
      <alignment horizontal="left"/>
    </xf>
    <xf numFmtId="0" fontId="1" fillId="0" borderId="2" xfId="6" applyBorder="1" applyAlignment="1">
      <alignment horizontal="left"/>
    </xf>
    <xf numFmtId="0" fontId="1" fillId="0" borderId="2" xfId="6" applyFont="1" applyBorder="1" applyAlignment="1">
      <alignment horizontal="left" wrapText="1"/>
    </xf>
    <xf numFmtId="0" fontId="1" fillId="0" borderId="2" xfId="6" applyBorder="1" applyAlignment="1">
      <alignment horizontal="left" wrapText="1"/>
    </xf>
    <xf numFmtId="0" fontId="1" fillId="0" borderId="4" xfId="6" applyFont="1" applyBorder="1" applyAlignment="1">
      <alignment horizontal="left" wrapText="1"/>
    </xf>
    <xf numFmtId="0" fontId="1" fillId="0" borderId="5" xfId="6" applyBorder="1" applyAlignment="1">
      <alignment horizontal="left" wrapText="1"/>
    </xf>
    <xf numFmtId="0" fontId="1" fillId="0" borderId="6" xfId="6" applyBorder="1" applyAlignment="1">
      <alignment horizontal="left" wrapText="1"/>
    </xf>
    <xf numFmtId="0" fontId="1" fillId="0" borderId="4" xfId="6" applyFont="1" applyFill="1" applyBorder="1" applyAlignment="1">
      <alignment horizontal="left" wrapText="1"/>
    </xf>
    <xf numFmtId="0" fontId="1" fillId="0" borderId="5" xfId="6" applyFill="1" applyBorder="1" applyAlignment="1">
      <alignment horizontal="left" wrapText="1"/>
    </xf>
    <xf numFmtId="0" fontId="1" fillId="0" borderId="6" xfId="6" applyFill="1" applyBorder="1" applyAlignment="1">
      <alignment horizontal="left" wrapText="1"/>
    </xf>
    <xf numFmtId="0" fontId="1" fillId="0" borderId="2" xfId="6" applyFont="1" applyFill="1" applyBorder="1" applyAlignment="1" applyProtection="1">
      <alignment horizontal="left"/>
    </xf>
    <xf numFmtId="0" fontId="1" fillId="0" borderId="2" xfId="6" applyFill="1" applyBorder="1" applyAlignment="1" applyProtection="1">
      <alignment horizontal="left"/>
    </xf>
    <xf numFmtId="0" fontId="67" fillId="7" borderId="4" xfId="6" applyFont="1" applyFill="1" applyBorder="1" applyAlignment="1" applyProtection="1">
      <alignment horizontal="center" wrapText="1"/>
      <protection locked="0"/>
    </xf>
    <xf numFmtId="0" fontId="67" fillId="7" borderId="6" xfId="6" applyFont="1" applyFill="1" applyBorder="1" applyAlignment="1" applyProtection="1">
      <alignment horizontal="center" wrapText="1"/>
      <protection locked="0"/>
    </xf>
    <xf numFmtId="0" fontId="1" fillId="0" borderId="4" xfId="6" applyFont="1" applyFill="1" applyBorder="1" applyAlignment="1" applyProtection="1">
      <alignment horizontal="left"/>
    </xf>
    <xf numFmtId="0" fontId="1" fillId="0" borderId="5" xfId="6" applyFont="1" applyFill="1" applyBorder="1" applyAlignment="1" applyProtection="1">
      <alignment horizontal="left"/>
    </xf>
    <xf numFmtId="0" fontId="67" fillId="7" borderId="5" xfId="6" applyFont="1" applyFill="1" applyBorder="1" applyAlignment="1" applyProtection="1">
      <alignment horizontal="left"/>
      <protection locked="0"/>
    </xf>
    <xf numFmtId="0" fontId="67" fillId="7" borderId="6" xfId="6" applyFont="1" applyFill="1" applyBorder="1" applyAlignment="1" applyProtection="1">
      <alignment horizontal="left"/>
      <protection locked="0"/>
    </xf>
    <xf numFmtId="0" fontId="2" fillId="6" borderId="4" xfId="6" applyFont="1" applyFill="1" applyBorder="1" applyAlignment="1" applyProtection="1">
      <alignment horizontal="left"/>
    </xf>
    <xf numFmtId="0" fontId="2" fillId="6" borderId="5" xfId="6" applyFont="1" applyFill="1" applyBorder="1" applyAlignment="1" applyProtection="1">
      <alignment horizontal="left"/>
    </xf>
    <xf numFmtId="0" fontId="2" fillId="0" borderId="2" xfId="6" applyFont="1" applyBorder="1" applyAlignment="1">
      <alignment horizontal="left"/>
    </xf>
    <xf numFmtId="0" fontId="1" fillId="0" borderId="2" xfId="6" applyFont="1" applyFill="1" applyBorder="1" applyAlignment="1">
      <alignment horizontal="left"/>
    </xf>
    <xf numFmtId="0" fontId="1" fillId="0" borderId="2" xfId="6" applyFill="1" applyBorder="1" applyAlignment="1">
      <alignment horizontal="left"/>
    </xf>
    <xf numFmtId="0" fontId="2" fillId="0" borderId="22" xfId="6" applyFont="1" applyBorder="1" applyAlignment="1">
      <alignment horizontal="left"/>
    </xf>
    <xf numFmtId="0" fontId="82" fillId="6" borderId="5" xfId="6" applyFont="1" applyFill="1" applyBorder="1" applyAlignment="1">
      <alignment horizontal="center"/>
    </xf>
    <xf numFmtId="0" fontId="82" fillId="6" borderId="6" xfId="6" applyFont="1" applyFill="1" applyBorder="1" applyAlignment="1">
      <alignment horizontal="center"/>
    </xf>
    <xf numFmtId="0" fontId="2" fillId="0" borderId="7" xfId="6" applyFont="1" applyBorder="1" applyAlignment="1">
      <alignment horizontal="left"/>
    </xf>
    <xf numFmtId="0" fontId="1" fillId="0" borderId="7" xfId="6" applyFont="1" applyBorder="1" applyAlignment="1">
      <alignment horizontal="left"/>
    </xf>
    <xf numFmtId="0" fontId="1" fillId="0" borderId="7" xfId="6" applyBorder="1" applyAlignment="1">
      <alignment horizontal="left"/>
    </xf>
    <xf numFmtId="14" fontId="1" fillId="0" borderId="0" xfId="6" applyNumberFormat="1" applyAlignment="1">
      <alignment horizontal="right"/>
    </xf>
    <xf numFmtId="0" fontId="1" fillId="7" borderId="4" xfId="6" applyFont="1" applyFill="1" applyBorder="1" applyAlignment="1" applyProtection="1">
      <alignment horizontal="left"/>
    </xf>
    <xf numFmtId="0" fontId="1" fillId="7" borderId="5" xfId="6" applyFont="1" applyFill="1" applyBorder="1" applyAlignment="1" applyProtection="1">
      <alignment horizontal="left"/>
    </xf>
    <xf numFmtId="0" fontId="1" fillId="0" borderId="4" xfId="6" applyFont="1" applyBorder="1" applyAlignment="1">
      <alignment horizontal="left"/>
    </xf>
    <xf numFmtId="0" fontId="1" fillId="0" borderId="5" xfId="6" applyFont="1" applyBorder="1" applyAlignment="1">
      <alignment horizontal="left"/>
    </xf>
    <xf numFmtId="0" fontId="1" fillId="0" borderId="6" xfId="6" applyFont="1" applyBorder="1" applyAlignment="1">
      <alignment horizontal="left"/>
    </xf>
    <xf numFmtId="0" fontId="1" fillId="0" borderId="3" xfId="6" applyBorder="1" applyAlignment="1">
      <alignment horizontal="left"/>
    </xf>
    <xf numFmtId="0" fontId="1" fillId="0" borderId="4" xfId="6" applyFont="1" applyBorder="1" applyAlignment="1">
      <alignment horizontal="left" vertical="top" wrapText="1"/>
    </xf>
    <xf numFmtId="0" fontId="1" fillId="0" borderId="5" xfId="6" applyFont="1" applyBorder="1" applyAlignment="1">
      <alignment horizontal="left" vertical="top"/>
    </xf>
    <xf numFmtId="0" fontId="1" fillId="0" borderId="6" xfId="6" applyFont="1" applyBorder="1" applyAlignment="1">
      <alignment horizontal="left" vertical="top"/>
    </xf>
    <xf numFmtId="0" fontId="67" fillId="7" borderId="4" xfId="6" applyFont="1" applyFill="1" applyBorder="1" applyAlignment="1" applyProtection="1">
      <alignment horizontal="left" wrapText="1"/>
      <protection locked="0"/>
    </xf>
    <xf numFmtId="0" fontId="67" fillId="7" borderId="6" xfId="6" applyFont="1" applyFill="1" applyBorder="1" applyAlignment="1" applyProtection="1">
      <alignment horizontal="left" wrapText="1"/>
      <protection locked="0"/>
    </xf>
    <xf numFmtId="0" fontId="1" fillId="0" borderId="36" xfId="7" applyFont="1" applyBorder="1" applyAlignment="1" applyProtection="1">
      <alignment horizontal="center"/>
    </xf>
    <xf numFmtId="0" fontId="1" fillId="0" borderId="37" xfId="7" applyFont="1" applyBorder="1" applyAlignment="1" applyProtection="1">
      <alignment horizontal="center"/>
    </xf>
    <xf numFmtId="4" fontId="1" fillId="0" borderId="2" xfId="7" applyNumberFormat="1" applyFont="1" applyBorder="1" applyAlignment="1" applyProtection="1">
      <alignment horizontal="right"/>
    </xf>
    <xf numFmtId="4" fontId="1" fillId="0" borderId="4" xfId="7" applyNumberFormat="1" applyFont="1" applyBorder="1" applyAlignment="1" applyProtection="1">
      <alignment horizontal="right"/>
    </xf>
    <xf numFmtId="0" fontId="1" fillId="0" borderId="58" xfId="7" applyFont="1" applyBorder="1" applyAlignment="1" applyProtection="1">
      <alignment horizontal="center"/>
    </xf>
    <xf numFmtId="0" fontId="1" fillId="0" borderId="7" xfId="7" applyFont="1" applyBorder="1" applyAlignment="1" applyProtection="1">
      <alignment horizontal="center"/>
    </xf>
    <xf numFmtId="0" fontId="1" fillId="0" borderId="56" xfId="7" applyFont="1" applyBorder="1" applyAlignment="1" applyProtection="1">
      <alignment horizontal="center"/>
    </xf>
    <xf numFmtId="0" fontId="1" fillId="0" borderId="22" xfId="7" applyFont="1" applyBorder="1" applyAlignment="1" applyProtection="1">
      <alignment horizontal="center"/>
    </xf>
    <xf numFmtId="4" fontId="1" fillId="0" borderId="22" xfId="7" applyNumberFormat="1" applyFont="1" applyBorder="1" applyAlignment="1" applyProtection="1">
      <alignment horizontal="center"/>
    </xf>
    <xf numFmtId="4" fontId="1" fillId="0" borderId="59" xfId="7" applyNumberFormat="1" applyFont="1" applyBorder="1" applyAlignment="1" applyProtection="1">
      <alignment horizontal="center"/>
    </xf>
    <xf numFmtId="0" fontId="1" fillId="0" borderId="35" xfId="7" applyFont="1" applyBorder="1" applyAlignment="1" applyProtection="1">
      <alignment horizontal="center"/>
    </xf>
    <xf numFmtId="0" fontId="1" fillId="0" borderId="2" xfId="7" applyFont="1" applyBorder="1" applyAlignment="1" applyProtection="1">
      <alignment horizontal="center"/>
    </xf>
    <xf numFmtId="4" fontId="1" fillId="0" borderId="2" xfId="7" applyNumberFormat="1" applyFont="1" applyBorder="1" applyAlignment="1" applyProtection="1">
      <alignment horizontal="center"/>
    </xf>
    <xf numFmtId="4" fontId="1" fillId="0" borderId="34" xfId="7" applyNumberFormat="1" applyFont="1" applyBorder="1" applyAlignment="1" applyProtection="1">
      <alignment horizontal="center"/>
    </xf>
    <xf numFmtId="43" fontId="1" fillId="7" borderId="2" xfId="1" applyFont="1" applyFill="1" applyBorder="1" applyAlignment="1" applyProtection="1">
      <alignment horizontal="right" indent="1"/>
      <protection locked="0"/>
    </xf>
    <xf numFmtId="43" fontId="1" fillId="7" borderId="2" xfId="1" applyFont="1" applyFill="1" applyBorder="1" applyAlignment="1" applyProtection="1">
      <alignment horizontal="center"/>
      <protection locked="0"/>
    </xf>
    <xf numFmtId="4" fontId="1" fillId="0" borderId="7" xfId="7" applyNumberFormat="1" applyFont="1" applyBorder="1" applyAlignment="1" applyProtection="1">
      <alignment horizontal="center"/>
    </xf>
    <xf numFmtId="4" fontId="1" fillId="0" borderId="57" xfId="7" applyNumberFormat="1" applyFont="1" applyBorder="1" applyAlignment="1" applyProtection="1">
      <alignment horizontal="center"/>
    </xf>
    <xf numFmtId="43" fontId="1" fillId="7" borderId="45" xfId="1" applyFont="1" applyFill="1" applyBorder="1" applyAlignment="1" applyProtection="1">
      <alignment horizontal="right" indent="1"/>
      <protection locked="0"/>
    </xf>
    <xf numFmtId="4" fontId="1" fillId="0" borderId="45" xfId="7" applyNumberFormat="1" applyFont="1" applyBorder="1" applyAlignment="1" applyProtection="1">
      <alignment horizontal="right"/>
    </xf>
    <xf numFmtId="4" fontId="1" fillId="0" borderId="50" xfId="7" applyNumberFormat="1" applyFont="1" applyBorder="1" applyAlignment="1" applyProtection="1">
      <alignment horizontal="right"/>
    </xf>
    <xf numFmtId="0" fontId="1" fillId="0" borderId="47" xfId="7" applyFont="1" applyBorder="1" applyAlignment="1" applyProtection="1">
      <alignment horizontal="center"/>
    </xf>
    <xf numFmtId="0" fontId="1" fillId="0" borderId="45" xfId="7" applyFont="1" applyBorder="1" applyAlignment="1" applyProtection="1">
      <alignment horizontal="center"/>
    </xf>
    <xf numFmtId="4" fontId="1" fillId="0" borderId="37" xfId="7" applyNumberFormat="1" applyFont="1" applyBorder="1" applyAlignment="1" applyProtection="1">
      <alignment horizontal="center"/>
    </xf>
    <xf numFmtId="4" fontId="1" fillId="0" borderId="38" xfId="7" applyNumberFormat="1" applyFont="1" applyBorder="1" applyAlignment="1" applyProtection="1">
      <alignment horizontal="center"/>
    </xf>
    <xf numFmtId="0" fontId="1" fillId="0" borderId="48" xfId="7" applyFont="1" applyBorder="1" applyAlignment="1" applyProtection="1">
      <alignment horizontal="center"/>
    </xf>
    <xf numFmtId="4" fontId="1" fillId="0" borderId="22" xfId="7" applyNumberFormat="1" applyFont="1" applyBorder="1" applyAlignment="1" applyProtection="1"/>
    <xf numFmtId="43" fontId="1" fillId="0" borderId="45" xfId="1" applyFont="1" applyBorder="1" applyAlignment="1" applyProtection="1"/>
    <xf numFmtId="43" fontId="1" fillId="7" borderId="22" xfId="1" applyFont="1" applyFill="1" applyBorder="1" applyAlignment="1" applyProtection="1">
      <alignment horizontal="right" indent="1"/>
      <protection locked="0"/>
    </xf>
    <xf numFmtId="4" fontId="1" fillId="0" borderId="22" xfId="7" applyNumberFormat="1" applyFont="1" applyBorder="1" applyAlignment="1" applyProtection="1">
      <alignment horizontal="right"/>
    </xf>
    <xf numFmtId="4" fontId="1" fillId="0" borderId="27" xfId="7" applyNumberFormat="1" applyFont="1" applyBorder="1" applyAlignment="1" applyProtection="1">
      <alignment horizontal="right"/>
    </xf>
    <xf numFmtId="43" fontId="1" fillId="7" borderId="45" xfId="1" applyFont="1" applyFill="1" applyBorder="1" applyAlignment="1" applyProtection="1">
      <alignment horizontal="center"/>
      <protection locked="0"/>
    </xf>
    <xf numFmtId="4" fontId="1" fillId="0" borderId="45" xfId="7" applyNumberFormat="1" applyFont="1" applyBorder="1" applyAlignment="1" applyProtection="1"/>
    <xf numFmtId="4" fontId="1" fillId="0" borderId="2" xfId="7" applyNumberFormat="1" applyFont="1" applyBorder="1" applyAlignment="1" applyProtection="1"/>
    <xf numFmtId="4" fontId="1" fillId="0" borderId="45" xfId="7" applyNumberFormat="1" applyFont="1" applyBorder="1" applyAlignment="1" applyProtection="1">
      <alignment horizontal="center"/>
    </xf>
    <xf numFmtId="4" fontId="1" fillId="0" borderId="46" xfId="7" applyNumberFormat="1" applyFont="1" applyBorder="1" applyAlignment="1" applyProtection="1">
      <alignment horizontal="center"/>
    </xf>
    <xf numFmtId="0" fontId="2" fillId="0" borderId="47" xfId="7" applyFont="1" applyBorder="1" applyAlignment="1" applyProtection="1">
      <alignment horizontal="center" vertical="center" textRotation="90"/>
    </xf>
    <xf numFmtId="0" fontId="2" fillId="0" borderId="35" xfId="7" applyFont="1" applyBorder="1" applyAlignment="1" applyProtection="1">
      <alignment horizontal="center" vertical="center" textRotation="90"/>
    </xf>
    <xf numFmtId="0" fontId="2" fillId="0" borderId="56" xfId="7" applyFont="1" applyBorder="1" applyAlignment="1" applyProtection="1">
      <alignment horizontal="center" vertical="center" textRotation="90"/>
    </xf>
    <xf numFmtId="0" fontId="1" fillId="0" borderId="5" xfId="7" applyFont="1" applyBorder="1" applyAlignment="1" applyProtection="1">
      <alignment horizontal="left"/>
    </xf>
    <xf numFmtId="0" fontId="1" fillId="0" borderId="3" xfId="7" applyFont="1" applyBorder="1" applyAlignment="1" applyProtection="1">
      <alignment horizontal="left"/>
    </xf>
    <xf numFmtId="0" fontId="1" fillId="0" borderId="5" xfId="7" applyFont="1" applyBorder="1" applyAlignment="1" applyProtection="1">
      <alignment horizontal="center"/>
      <protection locked="0"/>
    </xf>
    <xf numFmtId="0" fontId="1" fillId="0" borderId="23" xfId="7" applyFont="1" applyBorder="1" applyAlignment="1" applyProtection="1">
      <alignment horizontal="left"/>
    </xf>
    <xf numFmtId="0" fontId="1" fillId="0" borderId="25" xfId="7" applyFont="1" applyBorder="1" applyAlignment="1" applyProtection="1">
      <alignment horizontal="center"/>
      <protection locked="0"/>
    </xf>
    <xf numFmtId="0" fontId="1" fillId="0" borderId="48" xfId="7" applyFont="1" applyBorder="1" applyAlignment="1" applyProtection="1">
      <alignment horizontal="center"/>
      <protection locked="0"/>
    </xf>
    <xf numFmtId="0" fontId="1" fillId="0" borderId="6" xfId="7" applyFont="1" applyBorder="1" applyAlignment="1" applyProtection="1">
      <alignment horizontal="center"/>
      <protection locked="0"/>
    </xf>
    <xf numFmtId="0" fontId="78" fillId="0" borderId="25" xfId="7" applyFont="1" applyFill="1" applyBorder="1" applyAlignment="1" applyProtection="1">
      <alignment horizontal="left"/>
      <protection locked="0"/>
    </xf>
    <xf numFmtId="0" fontId="1" fillId="0" borderId="25" xfId="7" applyFont="1" applyBorder="1" applyAlignment="1" applyProtection="1">
      <alignment horizontal="left"/>
      <protection locked="0"/>
    </xf>
    <xf numFmtId="0" fontId="78" fillId="0" borderId="5" xfId="7" applyFont="1" applyFill="1" applyBorder="1" applyAlignment="1" applyProtection="1">
      <alignment horizontal="left"/>
      <protection locked="0"/>
    </xf>
    <xf numFmtId="0" fontId="1" fillId="0" borderId="5" xfId="7" applyFont="1" applyBorder="1" applyAlignment="1" applyProtection="1">
      <alignment horizontal="left"/>
      <protection locked="0"/>
    </xf>
    <xf numFmtId="0" fontId="1" fillId="0" borderId="27" xfId="7" applyFont="1" applyFill="1" applyBorder="1" applyAlignment="1" applyProtection="1">
      <alignment horizontal="center"/>
    </xf>
    <xf numFmtId="0" fontId="1" fillId="0" borderId="3" xfId="7" applyFont="1" applyFill="1" applyBorder="1" applyAlignment="1" applyProtection="1">
      <alignment horizontal="center"/>
    </xf>
    <xf numFmtId="0" fontId="1" fillId="0" borderId="23" xfId="7" applyFont="1" applyFill="1" applyBorder="1" applyAlignment="1" applyProtection="1">
      <alignment horizontal="center"/>
    </xf>
    <xf numFmtId="0" fontId="1" fillId="0" borderId="26" xfId="7" applyFont="1" applyFill="1" applyBorder="1" applyAlignment="1" applyProtection="1">
      <alignment horizontal="center"/>
    </xf>
    <xf numFmtId="0" fontId="1" fillId="0" borderId="20" xfId="7" applyFont="1" applyFill="1" applyBorder="1" applyAlignment="1" applyProtection="1">
      <alignment horizontal="center"/>
    </xf>
    <xf numFmtId="0" fontId="1" fillId="0" borderId="21" xfId="7" applyFont="1" applyFill="1" applyBorder="1" applyAlignment="1" applyProtection="1">
      <alignment horizontal="center"/>
    </xf>
    <xf numFmtId="0" fontId="1" fillId="0" borderId="27" xfId="7" applyFont="1" applyBorder="1" applyAlignment="1" applyProtection="1">
      <alignment horizontal="center"/>
    </xf>
    <xf numFmtId="0" fontId="1" fillId="0" borderId="3" xfId="7" applyFont="1" applyBorder="1" applyAlignment="1" applyProtection="1">
      <alignment horizontal="center"/>
    </xf>
    <xf numFmtId="0" fontId="1" fillId="0" borderId="23" xfId="7" applyFont="1" applyBorder="1" applyAlignment="1" applyProtection="1">
      <alignment horizontal="center"/>
    </xf>
    <xf numFmtId="0" fontId="1" fillId="0" borderId="26" xfId="7" applyFont="1" applyBorder="1" applyAlignment="1" applyProtection="1">
      <alignment horizontal="center"/>
    </xf>
    <xf numFmtId="0" fontId="1" fillId="0" borderId="20" xfId="7" applyFont="1" applyBorder="1" applyAlignment="1" applyProtection="1">
      <alignment horizontal="center"/>
    </xf>
    <xf numFmtId="0" fontId="1" fillId="0" borderId="21" xfId="7" applyFont="1" applyBorder="1" applyAlignment="1" applyProtection="1">
      <alignment horizontal="center"/>
    </xf>
    <xf numFmtId="4" fontId="9" fillId="0" borderId="2" xfId="7" applyNumberFormat="1" applyFont="1" applyBorder="1" applyAlignment="1" applyProtection="1">
      <alignment horizontal="center" vertical="center"/>
    </xf>
    <xf numFmtId="0" fontId="18" fillId="0" borderId="0" xfId="7" applyFont="1" applyBorder="1" applyAlignment="1" applyProtection="1">
      <alignment horizontal="center" vertical="center"/>
    </xf>
    <xf numFmtId="0" fontId="18" fillId="0" borderId="9" xfId="7" applyFont="1" applyBorder="1" applyAlignment="1" applyProtection="1">
      <alignment horizontal="center" vertical="center"/>
    </xf>
    <xf numFmtId="0" fontId="22" fillId="0" borderId="1" xfId="7" applyFont="1" applyBorder="1" applyAlignment="1" applyProtection="1">
      <alignment horizontal="left" vertical="center"/>
    </xf>
    <xf numFmtId="0" fontId="22" fillId="0" borderId="0" xfId="7" applyFont="1" applyBorder="1" applyAlignment="1" applyProtection="1">
      <alignment horizontal="left" vertical="center"/>
    </xf>
    <xf numFmtId="0" fontId="22" fillId="0" borderId="13" xfId="7" applyFont="1" applyBorder="1" applyAlignment="1" applyProtection="1">
      <alignment horizontal="left" vertical="center"/>
    </xf>
    <xf numFmtId="0" fontId="22" fillId="0" borderId="14" xfId="7" applyFont="1" applyBorder="1" applyAlignment="1" applyProtection="1">
      <alignment horizontal="left" vertical="center"/>
    </xf>
    <xf numFmtId="0" fontId="6" fillId="0" borderId="0" xfId="7" applyBorder="1" applyAlignment="1" applyProtection="1">
      <alignment horizontal="center"/>
    </xf>
    <xf numFmtId="0" fontId="6" fillId="0" borderId="14" xfId="7" applyBorder="1" applyAlignment="1" applyProtection="1">
      <alignment horizontal="center"/>
    </xf>
    <xf numFmtId="0" fontId="6" fillId="0" borderId="9" xfId="7" applyBorder="1" applyAlignment="1" applyProtection="1">
      <alignment horizontal="center"/>
    </xf>
    <xf numFmtId="0" fontId="6" fillId="0" borderId="15" xfId="7" applyBorder="1" applyAlignment="1" applyProtection="1">
      <alignment horizontal="center"/>
    </xf>
    <xf numFmtId="0" fontId="55" fillId="0" borderId="11" xfId="7" applyFont="1" applyBorder="1" applyAlignment="1" applyProtection="1">
      <alignment horizontal="left" vertical="top" wrapText="1"/>
    </xf>
    <xf numFmtId="0" fontId="55" fillId="0" borderId="11" xfId="7" applyFont="1" applyBorder="1" applyAlignment="1" applyProtection="1">
      <alignment horizontal="left" vertical="top"/>
    </xf>
    <xf numFmtId="0" fontId="55" fillId="0" borderId="0" xfId="7" applyFont="1" applyAlignment="1" applyProtection="1">
      <alignment horizontal="left" vertical="top"/>
    </xf>
    <xf numFmtId="0" fontId="15" fillId="0" borderId="11" xfId="7" quotePrefix="1" applyFont="1" applyFill="1" applyBorder="1" applyAlignment="1" applyProtection="1">
      <alignment horizontal="left" wrapText="1"/>
    </xf>
    <xf numFmtId="0" fontId="15" fillId="0" borderId="0" xfId="7" quotePrefix="1" applyFont="1" applyFill="1" applyAlignment="1" applyProtection="1">
      <alignment horizontal="left" wrapText="1"/>
    </xf>
    <xf numFmtId="0" fontId="2" fillId="0" borderId="0" xfId="7" applyFont="1" applyBorder="1" applyAlignment="1" applyProtection="1">
      <alignment horizontal="left" wrapText="1"/>
    </xf>
    <xf numFmtId="0" fontId="2" fillId="0" borderId="20" xfId="7" applyFont="1" applyBorder="1" applyAlignment="1" applyProtection="1">
      <alignment horizontal="left" wrapText="1"/>
    </xf>
    <xf numFmtId="0" fontId="31" fillId="0" borderId="0" xfId="7" applyFont="1" applyBorder="1" applyAlignment="1" applyProtection="1">
      <alignment horizontal="center" vertical="center" wrapText="1"/>
    </xf>
    <xf numFmtId="0" fontId="31" fillId="0" borderId="20" xfId="7" applyFont="1" applyBorder="1" applyAlignment="1" applyProtection="1">
      <alignment horizontal="center" vertical="center" wrapText="1"/>
    </xf>
    <xf numFmtId="0" fontId="2" fillId="0" borderId="0" xfId="7" applyFont="1" applyBorder="1" applyAlignment="1" applyProtection="1">
      <alignment horizontal="right"/>
    </xf>
    <xf numFmtId="0" fontId="2" fillId="0" borderId="0" xfId="7" applyFont="1" applyFill="1" applyBorder="1" applyAlignment="1" applyProtection="1">
      <alignment horizontal="right"/>
    </xf>
    <xf numFmtId="0" fontId="2" fillId="0" borderId="20" xfId="7" applyFont="1" applyFill="1" applyBorder="1" applyAlignment="1" applyProtection="1">
      <alignment horizontal="right"/>
    </xf>
    <xf numFmtId="0" fontId="2" fillId="0" borderId="0" xfId="7" applyFont="1" applyAlignment="1" applyProtection="1">
      <alignment horizontal="center"/>
    </xf>
    <xf numFmtId="0" fontId="1" fillId="0" borderId="0" xfId="7" quotePrefix="1" applyFont="1" applyAlignment="1" applyProtection="1">
      <alignment horizontal="left" vertical="top" wrapText="1"/>
    </xf>
    <xf numFmtId="0" fontId="14" fillId="0" borderId="0" xfId="7" applyFont="1" applyAlignment="1" applyProtection="1">
      <alignment horizontal="center"/>
    </xf>
    <xf numFmtId="0" fontId="22" fillId="0" borderId="10" xfId="7" applyFont="1" applyBorder="1" applyAlignment="1" applyProtection="1">
      <alignment horizontal="left" vertical="center" wrapText="1"/>
    </xf>
    <xf numFmtId="0" fontId="22" fillId="0" borderId="11" xfId="7" applyFont="1" applyBorder="1" applyAlignment="1" applyProtection="1">
      <alignment horizontal="left" vertical="center"/>
    </xf>
    <xf numFmtId="0" fontId="18" fillId="0" borderId="11" xfId="7" applyFont="1" applyBorder="1" applyAlignment="1" applyProtection="1">
      <alignment horizontal="center" vertical="center"/>
    </xf>
    <xf numFmtId="0" fontId="6" fillId="0" borderId="11" xfId="7" applyBorder="1" applyAlignment="1" applyProtection="1">
      <alignment horizontal="center" vertical="center"/>
    </xf>
    <xf numFmtId="0" fontId="6" fillId="0" borderId="12" xfId="7" applyBorder="1" applyAlignment="1" applyProtection="1">
      <alignment horizontal="center" vertical="center"/>
    </xf>
    <xf numFmtId="0" fontId="6" fillId="0" borderId="0" xfId="7" applyBorder="1" applyAlignment="1" applyProtection="1">
      <alignment horizontal="center" vertical="center"/>
    </xf>
    <xf numFmtId="0" fontId="6" fillId="0" borderId="9" xfId="7" applyBorder="1" applyAlignment="1" applyProtection="1">
      <alignment horizontal="center" vertical="center"/>
    </xf>
    <xf numFmtId="0" fontId="34" fillId="0" borderId="0" xfId="7" applyFont="1" applyAlignment="1" applyProtection="1">
      <alignment horizontal="center"/>
    </xf>
    <xf numFmtId="0" fontId="6" fillId="0" borderId="0" xfId="7" applyAlignment="1" applyProtection="1">
      <alignment horizontal="center"/>
    </xf>
    <xf numFmtId="0" fontId="6" fillId="0" borderId="0" xfId="7" applyFont="1" applyAlignment="1" applyProtection="1">
      <alignment horizontal="left" vertical="center"/>
    </xf>
    <xf numFmtId="0" fontId="6" fillId="0" borderId="0" xfId="7" applyAlignment="1" applyProtection="1">
      <alignment horizontal="left" vertical="center"/>
    </xf>
    <xf numFmtId="0" fontId="9" fillId="0" borderId="0" xfId="7" applyFont="1" applyAlignment="1" applyProtection="1">
      <alignment horizontal="left" vertical="center"/>
    </xf>
    <xf numFmtId="0" fontId="6" fillId="0" borderId="20" xfId="7" applyBorder="1" applyAlignment="1" applyProtection="1">
      <alignment horizontal="center"/>
    </xf>
    <xf numFmtId="0" fontId="1" fillId="0" borderId="0" xfId="7" applyFont="1" applyBorder="1" applyAlignment="1" applyProtection="1">
      <alignment horizontal="left"/>
    </xf>
    <xf numFmtId="0" fontId="1" fillId="0" borderId="0" xfId="7" applyFont="1" applyBorder="1" applyAlignment="1" applyProtection="1">
      <alignment horizontal="center"/>
    </xf>
    <xf numFmtId="0" fontId="6" fillId="0" borderId="0" xfId="7" applyFont="1" applyAlignment="1" applyProtection="1">
      <alignment horizontal="left"/>
    </xf>
    <xf numFmtId="0" fontId="6" fillId="0" borderId="0" xfId="7" applyAlignment="1" applyProtection="1">
      <alignment horizontal="left"/>
    </xf>
    <xf numFmtId="0" fontId="6" fillId="0" borderId="20" xfId="7" applyBorder="1" applyAlignment="1" applyProtection="1">
      <alignment horizontal="left"/>
    </xf>
    <xf numFmtId="169" fontId="6" fillId="0" borderId="0" xfId="7" applyNumberFormat="1" applyBorder="1" applyAlignment="1" applyProtection="1">
      <alignment horizontal="center"/>
    </xf>
    <xf numFmtId="169" fontId="6" fillId="0" borderId="20" xfId="7" applyNumberFormat="1" applyBorder="1" applyAlignment="1" applyProtection="1">
      <alignment horizontal="center"/>
    </xf>
    <xf numFmtId="0" fontId="32" fillId="0" borderId="0" xfId="7" applyFont="1" applyBorder="1" applyAlignment="1" applyProtection="1">
      <alignment horizontal="left"/>
    </xf>
    <xf numFmtId="0" fontId="6" fillId="14" borderId="0" xfId="7" applyFill="1" applyAlignment="1" applyProtection="1">
      <alignment horizontal="center" vertical="center"/>
    </xf>
    <xf numFmtId="0" fontId="6" fillId="0" borderId="0" xfId="7" applyFont="1" applyAlignment="1" applyProtection="1">
      <alignment horizontal="left" vertical="center" wrapText="1"/>
    </xf>
    <xf numFmtId="0" fontId="6" fillId="0" borderId="3" xfId="7" applyBorder="1" applyAlignment="1" applyProtection="1">
      <alignment horizontal="center"/>
    </xf>
    <xf numFmtId="0" fontId="6" fillId="0" borderId="0" xfId="7" applyFont="1" applyBorder="1" applyAlignment="1" applyProtection="1">
      <alignment horizontal="left"/>
    </xf>
    <xf numFmtId="169" fontId="6" fillId="0" borderId="0" xfId="7" applyNumberFormat="1" applyBorder="1" applyAlignment="1" applyProtection="1">
      <alignment horizontal="left"/>
    </xf>
    <xf numFmtId="169" fontId="6" fillId="0" borderId="20" xfId="7" applyNumberFormat="1" applyBorder="1" applyAlignment="1" applyProtection="1">
      <alignment horizontal="left"/>
    </xf>
    <xf numFmtId="0" fontId="1" fillId="0" borderId="9" xfId="7" applyFont="1" applyBorder="1" applyAlignment="1" applyProtection="1">
      <alignment horizontal="left"/>
    </xf>
    <xf numFmtId="0" fontId="22" fillId="0" borderId="54" xfId="7" applyFont="1" applyBorder="1" applyAlignment="1" applyProtection="1">
      <alignment horizontal="center"/>
    </xf>
    <xf numFmtId="0" fontId="22" fillId="0" borderId="55" xfId="7" applyFont="1" applyBorder="1" applyAlignment="1" applyProtection="1">
      <alignment horizontal="center"/>
    </xf>
    <xf numFmtId="0" fontId="9" fillId="0" borderId="1" xfId="7" applyFont="1" applyBorder="1" applyAlignment="1" applyProtection="1">
      <alignment horizontal="center"/>
    </xf>
    <xf numFmtId="0" fontId="9" fillId="0" borderId="0" xfId="7" applyFont="1" applyBorder="1" applyAlignment="1" applyProtection="1">
      <alignment horizontal="left"/>
    </xf>
    <xf numFmtId="0" fontId="1" fillId="0" borderId="20" xfId="7" applyFont="1" applyBorder="1" applyAlignment="1" applyProtection="1">
      <alignment horizontal="left"/>
    </xf>
    <xf numFmtId="0" fontId="9" fillId="0" borderId="9" xfId="7" applyFont="1" applyBorder="1" applyAlignment="1" applyProtection="1">
      <alignment horizontal="left"/>
    </xf>
    <xf numFmtId="0" fontId="86" fillId="0" borderId="0" xfId="7" applyFont="1" applyBorder="1" applyAlignment="1" applyProtection="1">
      <alignment horizontal="left"/>
    </xf>
    <xf numFmtId="0" fontId="86" fillId="0" borderId="9" xfId="7" applyFont="1" applyBorder="1" applyAlignment="1" applyProtection="1">
      <alignment horizontal="left"/>
    </xf>
    <xf numFmtId="0" fontId="2" fillId="0" borderId="0" xfId="7" applyFont="1" applyBorder="1" applyAlignment="1" applyProtection="1">
      <alignment horizontal="left"/>
    </xf>
    <xf numFmtId="0" fontId="86" fillId="0" borderId="0" xfId="7" applyFont="1" applyBorder="1" applyAlignment="1" applyProtection="1">
      <alignment horizontal="left" vertical="top" wrapText="1"/>
    </xf>
    <xf numFmtId="0" fontId="86" fillId="0" borderId="0" xfId="7" applyFont="1" applyBorder="1" applyAlignment="1" applyProtection="1">
      <alignment horizontal="left" vertical="top"/>
    </xf>
    <xf numFmtId="0" fontId="2" fillId="0" borderId="0" xfId="7" applyFont="1" applyFill="1" applyBorder="1" applyAlignment="1" applyProtection="1">
      <alignment horizontal="left"/>
    </xf>
    <xf numFmtId="0" fontId="2" fillId="0" borderId="9" xfId="7" applyFont="1" applyFill="1" applyBorder="1" applyAlignment="1" applyProtection="1">
      <alignment horizontal="left"/>
    </xf>
    <xf numFmtId="169" fontId="9" fillId="0" borderId="0" xfId="7" applyNumberFormat="1" applyFont="1" applyBorder="1" applyAlignment="1" applyProtection="1">
      <alignment horizontal="center"/>
    </xf>
    <xf numFmtId="169" fontId="6" fillId="0" borderId="0" xfId="7" applyNumberFormat="1" applyProtection="1"/>
    <xf numFmtId="169" fontId="6" fillId="0" borderId="20" xfId="7" applyNumberFormat="1" applyBorder="1" applyProtection="1"/>
    <xf numFmtId="14" fontId="1" fillId="7" borderId="0" xfId="7" applyNumberFormat="1" applyFont="1" applyFill="1" applyBorder="1" applyAlignment="1" applyProtection="1">
      <alignment horizontal="left"/>
      <protection locked="0"/>
    </xf>
    <xf numFmtId="0" fontId="1" fillId="7" borderId="0" xfId="7" applyFont="1" applyFill="1" applyBorder="1" applyAlignment="1" applyProtection="1">
      <alignment horizontal="left"/>
      <protection locked="0"/>
    </xf>
    <xf numFmtId="0" fontId="1" fillId="7" borderId="20" xfId="7" applyFont="1" applyFill="1" applyBorder="1" applyAlignment="1" applyProtection="1">
      <alignment horizontal="left"/>
      <protection locked="0"/>
    </xf>
    <xf numFmtId="0" fontId="6" fillId="0" borderId="0" xfId="7" applyFont="1" applyFill="1" applyBorder="1" applyAlignment="1" applyProtection="1">
      <alignment horizontal="left"/>
    </xf>
    <xf numFmtId="0" fontId="6" fillId="0" borderId="0" xfId="7" applyFill="1" applyBorder="1" applyAlignment="1" applyProtection="1">
      <alignment horizontal="left"/>
    </xf>
    <xf numFmtId="0" fontId="6" fillId="0" borderId="20" xfId="7" applyFill="1" applyBorder="1" applyAlignment="1" applyProtection="1">
      <alignment horizontal="left"/>
    </xf>
    <xf numFmtId="169" fontId="6" fillId="0" borderId="0" xfId="7" applyNumberFormat="1" applyFill="1" applyBorder="1" applyAlignment="1" applyProtection="1">
      <alignment horizontal="left"/>
    </xf>
    <xf numFmtId="169" fontId="6" fillId="0" borderId="20" xfId="7" applyNumberFormat="1" applyFill="1" applyBorder="1" applyAlignment="1" applyProtection="1">
      <alignment horizontal="left"/>
    </xf>
    <xf numFmtId="0" fontId="6" fillId="0" borderId="0" xfId="7" applyFill="1" applyBorder="1" applyAlignment="1" applyProtection="1">
      <alignment horizontal="center"/>
    </xf>
    <xf numFmtId="0" fontId="6" fillId="0" borderId="20" xfId="7" applyFill="1" applyBorder="1" applyAlignment="1" applyProtection="1">
      <alignment horizontal="center"/>
    </xf>
    <xf numFmtId="4" fontId="9" fillId="0" borderId="18" xfId="7" applyNumberFormat="1" applyFont="1" applyBorder="1" applyAlignment="1" applyProtection="1">
      <alignment horizontal="center" vertical="center"/>
    </xf>
    <xf numFmtId="4" fontId="9" fillId="0" borderId="51" xfId="7" applyNumberFormat="1" applyFont="1" applyBorder="1" applyAlignment="1" applyProtection="1">
      <alignment horizontal="center" vertical="center"/>
    </xf>
    <xf numFmtId="4" fontId="9" fillId="0" borderId="52" xfId="7" applyNumberFormat="1" applyFont="1" applyBorder="1" applyAlignment="1" applyProtection="1">
      <alignment horizontal="center" vertical="center"/>
    </xf>
    <xf numFmtId="4" fontId="9" fillId="0" borderId="53" xfId="7" applyNumberFormat="1" applyFont="1" applyBorder="1" applyAlignment="1" applyProtection="1">
      <alignment horizontal="center" vertical="center"/>
    </xf>
    <xf numFmtId="0" fontId="1" fillId="0" borderId="0" xfId="7" applyFont="1" applyBorder="1" applyAlignment="1" applyProtection="1">
      <alignment horizontal="left" vertical="top"/>
    </xf>
    <xf numFmtId="0" fontId="2" fillId="0" borderId="24" xfId="7" applyFont="1" applyBorder="1" applyAlignment="1" applyProtection="1">
      <alignment horizontal="left" vertical="center"/>
    </xf>
    <xf numFmtId="0" fontId="2" fillId="0" borderId="18" xfId="7" applyFont="1" applyBorder="1" applyAlignment="1" applyProtection="1">
      <alignment horizontal="left" vertical="center"/>
    </xf>
    <xf numFmtId="0" fontId="2" fillId="0" borderId="39" xfId="7" applyFont="1" applyBorder="1" applyAlignment="1" applyProtection="1">
      <alignment horizontal="left" vertical="center"/>
    </xf>
    <xf numFmtId="0" fontId="2" fillId="0" borderId="52" xfId="7" applyFont="1" applyBorder="1" applyAlignment="1" applyProtection="1">
      <alignment horizontal="left" vertical="center"/>
    </xf>
    <xf numFmtId="0" fontId="2" fillId="0" borderId="18" xfId="7" applyFont="1" applyBorder="1" applyAlignment="1" applyProtection="1">
      <alignment horizontal="center" vertical="center"/>
    </xf>
    <xf numFmtId="0" fontId="2" fillId="0" borderId="52" xfId="7" applyFont="1" applyBorder="1" applyAlignment="1" applyProtection="1">
      <alignment horizontal="center" vertical="center"/>
    </xf>
    <xf numFmtId="3" fontId="6" fillId="0" borderId="18" xfId="7" applyNumberFormat="1" applyBorder="1" applyAlignment="1" applyProtection="1">
      <alignment horizontal="center" vertical="center"/>
    </xf>
    <xf numFmtId="0" fontId="6" fillId="0" borderId="18" xfId="7" applyBorder="1" applyAlignment="1" applyProtection="1">
      <alignment horizontal="center" vertical="center"/>
    </xf>
    <xf numFmtId="0" fontId="6" fillId="0" borderId="52" xfId="7" applyBorder="1" applyAlignment="1" applyProtection="1">
      <alignment horizontal="center" vertical="center"/>
    </xf>
    <xf numFmtId="4" fontId="9" fillId="0" borderId="16" xfId="7" applyNumberFormat="1" applyFont="1" applyBorder="1" applyAlignment="1" applyProtection="1">
      <alignment horizontal="center" vertical="center"/>
    </xf>
    <xf numFmtId="4" fontId="9" fillId="0" borderId="49" xfId="7" applyNumberFormat="1" applyFont="1" applyBorder="1" applyAlignment="1" applyProtection="1">
      <alignment horizontal="center" vertical="center"/>
    </xf>
    <xf numFmtId="0" fontId="9" fillId="0" borderId="13" xfId="7" applyFont="1" applyBorder="1" applyAlignment="1" applyProtection="1">
      <alignment horizontal="center"/>
    </xf>
    <xf numFmtId="4" fontId="9" fillId="0" borderId="42" xfId="7" applyNumberFormat="1" applyFont="1" applyBorder="1" applyAlignment="1" applyProtection="1">
      <alignment horizontal="center" vertical="center"/>
    </xf>
    <xf numFmtId="4" fontId="9" fillId="0" borderId="43" xfId="7" applyNumberFormat="1" applyFont="1" applyBorder="1" applyAlignment="1" applyProtection="1">
      <alignment horizontal="center" vertical="center"/>
    </xf>
    <xf numFmtId="0" fontId="6" fillId="7" borderId="0" xfId="7" applyFont="1" applyFill="1" applyAlignment="1" applyProtection="1">
      <alignment horizontal="left"/>
      <protection locked="0"/>
    </xf>
    <xf numFmtId="0" fontId="6" fillId="7" borderId="0" xfId="7" applyFill="1" applyAlignment="1" applyProtection="1">
      <alignment horizontal="left"/>
      <protection locked="0"/>
    </xf>
    <xf numFmtId="0" fontId="6" fillId="7" borderId="20" xfId="7" applyFill="1" applyBorder="1" applyAlignment="1" applyProtection="1">
      <alignment horizontal="left"/>
      <protection locked="0"/>
    </xf>
    <xf numFmtId="166" fontId="6" fillId="7" borderId="0" xfId="7" applyNumberFormat="1" applyFill="1" applyAlignment="1" applyProtection="1">
      <alignment horizontal="center"/>
      <protection locked="0"/>
    </xf>
    <xf numFmtId="166" fontId="6" fillId="7" borderId="20" xfId="7" applyNumberFormat="1" applyFill="1" applyBorder="1" applyAlignment="1" applyProtection="1">
      <alignment horizontal="center"/>
      <protection locked="0"/>
    </xf>
    <xf numFmtId="0" fontId="9" fillId="0" borderId="47" xfId="7" applyFont="1" applyBorder="1" applyAlignment="1" applyProtection="1">
      <alignment horizontal="center"/>
    </xf>
    <xf numFmtId="0" fontId="9" fillId="0" borderId="45" xfId="7" applyFont="1" applyBorder="1" applyAlignment="1" applyProtection="1">
      <alignment horizontal="center"/>
    </xf>
    <xf numFmtId="0" fontId="9" fillId="0" borderId="46" xfId="7" applyFont="1" applyBorder="1" applyAlignment="1" applyProtection="1">
      <alignment horizontal="center"/>
    </xf>
    <xf numFmtId="0" fontId="9" fillId="0" borderId="35" xfId="7" applyFont="1" applyBorder="1" applyAlignment="1" applyProtection="1">
      <alignment horizontal="center"/>
    </xf>
    <xf numFmtId="0" fontId="9" fillId="0" borderId="2" xfId="7" applyFont="1" applyBorder="1" applyAlignment="1" applyProtection="1">
      <alignment horizontal="center"/>
    </xf>
    <xf numFmtId="0" fontId="9" fillId="0" borderId="34" xfId="7" applyFont="1" applyBorder="1" applyAlignment="1" applyProtection="1">
      <alignment horizontal="center"/>
    </xf>
    <xf numFmtId="0" fontId="14" fillId="0" borderId="27" xfId="7" applyFont="1" applyBorder="1" applyAlignment="1" applyProtection="1">
      <alignment horizontal="center" vertical="center" wrapText="1"/>
    </xf>
    <xf numFmtId="0" fontId="14" fillId="0" borderId="3" xfId="7" applyFont="1" applyBorder="1" applyAlignment="1" applyProtection="1">
      <alignment horizontal="center" vertical="center"/>
    </xf>
    <xf numFmtId="0" fontId="14" fillId="0" borderId="16" xfId="7" applyFont="1" applyBorder="1" applyAlignment="1" applyProtection="1">
      <alignment horizontal="center" vertical="center"/>
    </xf>
    <xf numFmtId="0" fontId="14" fillId="0" borderId="0" xfId="7" applyFont="1" applyBorder="1" applyAlignment="1" applyProtection="1">
      <alignment horizontal="center" vertical="center"/>
    </xf>
    <xf numFmtId="0" fontId="1" fillId="0" borderId="35" xfId="7" applyFont="1" applyBorder="1" applyAlignment="1" applyProtection="1">
      <alignment horizontal="center" vertical="center"/>
    </xf>
    <xf numFmtId="0" fontId="1" fillId="0" borderId="2" xfId="7" applyFont="1" applyBorder="1" applyAlignment="1" applyProtection="1">
      <alignment horizontal="center" vertical="center"/>
    </xf>
    <xf numFmtId="0" fontId="1" fillId="0" borderId="56" xfId="7" applyFont="1" applyBorder="1" applyAlignment="1" applyProtection="1">
      <alignment horizontal="center" vertical="center"/>
    </xf>
    <xf numFmtId="0" fontId="1" fillId="0" borderId="22" xfId="7" applyFont="1" applyBorder="1" applyAlignment="1" applyProtection="1">
      <alignment horizontal="center" vertical="center"/>
    </xf>
    <xf numFmtId="0" fontId="14" fillId="0" borderId="29" xfId="7" applyFont="1" applyBorder="1" applyAlignment="1" applyProtection="1">
      <alignment horizontal="center" vertical="center"/>
    </xf>
    <xf numFmtId="0" fontId="14" fillId="0" borderId="9" xfId="7" applyFont="1" applyBorder="1" applyAlignment="1" applyProtection="1">
      <alignment horizontal="center" vertical="center"/>
    </xf>
    <xf numFmtId="0" fontId="1" fillId="0" borderId="27" xfId="7" applyFont="1" applyBorder="1" applyAlignment="1" applyProtection="1">
      <alignment horizontal="center" vertical="center"/>
    </xf>
    <xf numFmtId="0" fontId="1" fillId="0" borderId="3" xfId="7" applyFont="1" applyBorder="1" applyAlignment="1" applyProtection="1">
      <alignment horizontal="center" vertical="center"/>
    </xf>
    <xf numFmtId="0" fontId="1" fillId="0" borderId="23" xfId="7" applyFont="1" applyBorder="1" applyAlignment="1" applyProtection="1">
      <alignment horizontal="center" vertical="center"/>
    </xf>
    <xf numFmtId="0" fontId="1" fillId="0" borderId="16" xfId="7" applyFont="1" applyBorder="1" applyAlignment="1" applyProtection="1">
      <alignment horizontal="center" vertical="center"/>
    </xf>
    <xf numFmtId="0" fontId="1" fillId="0" borderId="0" xfId="7" applyFont="1" applyBorder="1" applyAlignment="1" applyProtection="1">
      <alignment horizontal="center" vertical="center"/>
    </xf>
    <xf numFmtId="0" fontId="1" fillId="0" borderId="24" xfId="7" applyFont="1" applyBorder="1" applyAlignment="1" applyProtection="1">
      <alignment horizontal="center" vertical="center"/>
    </xf>
    <xf numFmtId="0" fontId="1" fillId="0" borderId="28" xfId="7" applyFont="1" applyBorder="1" applyAlignment="1" applyProtection="1">
      <alignment horizontal="center" vertical="center"/>
    </xf>
    <xf numFmtId="0" fontId="1" fillId="0" borderId="11" xfId="7" applyFont="1" applyBorder="1" applyAlignment="1" applyProtection="1">
      <alignment horizontal="center" vertical="center"/>
    </xf>
    <xf numFmtId="0" fontId="1" fillId="0" borderId="44" xfId="7" applyFont="1" applyBorder="1" applyAlignment="1" applyProtection="1">
      <alignment horizontal="center" vertical="center"/>
    </xf>
    <xf numFmtId="0" fontId="1" fillId="0" borderId="28" xfId="7" applyFont="1" applyBorder="1" applyAlignment="1" applyProtection="1">
      <alignment horizontal="center" vertical="center" wrapText="1"/>
    </xf>
    <xf numFmtId="0" fontId="1" fillId="0" borderId="11" xfId="7" applyFont="1" applyBorder="1" applyAlignment="1" applyProtection="1">
      <alignment horizontal="center" vertical="center" wrapText="1"/>
    </xf>
    <xf numFmtId="0" fontId="1" fillId="0" borderId="44" xfId="7" applyFont="1" applyBorder="1" applyAlignment="1" applyProtection="1">
      <alignment horizontal="center" vertical="center" wrapText="1"/>
    </xf>
    <xf numFmtId="0" fontId="1" fillId="0" borderId="16" xfId="7" applyFont="1" applyBorder="1" applyAlignment="1" applyProtection="1">
      <alignment horizontal="center" vertical="center" wrapText="1"/>
    </xf>
    <xf numFmtId="0" fontId="1" fillId="0" borderId="0" xfId="7" applyFont="1" applyBorder="1" applyAlignment="1" applyProtection="1">
      <alignment horizontal="center" vertical="center" wrapText="1"/>
    </xf>
    <xf numFmtId="0" fontId="1" fillId="0" borderId="24" xfId="7" applyFont="1" applyBorder="1" applyAlignment="1" applyProtection="1">
      <alignment horizontal="center" vertical="center" wrapText="1"/>
    </xf>
    <xf numFmtId="0" fontId="6" fillId="0" borderId="45" xfId="7" applyBorder="1" applyAlignment="1" applyProtection="1">
      <alignment horizontal="center"/>
    </xf>
    <xf numFmtId="0" fontId="6" fillId="0" borderId="50" xfId="7" applyBorder="1" applyAlignment="1" applyProtection="1">
      <alignment horizontal="center"/>
    </xf>
    <xf numFmtId="0" fontId="6" fillId="0" borderId="2" xfId="7" applyBorder="1" applyAlignment="1" applyProtection="1">
      <alignment horizontal="center"/>
    </xf>
    <xf numFmtId="0" fontId="6" fillId="0" borderId="4" xfId="7" applyBorder="1" applyAlignment="1" applyProtection="1">
      <alignment horizontal="center"/>
    </xf>
    <xf numFmtId="0" fontId="15" fillId="0" borderId="0" xfId="7" applyFont="1" applyBorder="1" applyAlignment="1" applyProtection="1">
      <alignment horizontal="center" wrapText="1"/>
    </xf>
    <xf numFmtId="0" fontId="15" fillId="0" borderId="24" xfId="7" applyFont="1" applyBorder="1" applyAlignment="1" applyProtection="1">
      <alignment horizontal="center" wrapText="1"/>
    </xf>
    <xf numFmtId="0" fontId="1" fillId="0" borderId="0" xfId="7" applyFont="1" applyBorder="1" applyAlignment="1" applyProtection="1">
      <alignment horizontal="left" vertical="center"/>
    </xf>
    <xf numFmtId="0" fontId="1" fillId="0" borderId="24" xfId="7" applyFont="1" applyBorder="1" applyAlignment="1" applyProtection="1">
      <alignment horizontal="left" vertical="center"/>
    </xf>
    <xf numFmtId="0" fontId="6" fillId="0" borderId="27" xfId="7" applyNumberFormat="1" applyBorder="1" applyAlignment="1" applyProtection="1">
      <alignment horizontal="center" vertical="center"/>
    </xf>
    <xf numFmtId="0" fontId="6" fillId="0" borderId="3" xfId="7" applyNumberFormat="1" applyBorder="1" applyAlignment="1" applyProtection="1">
      <alignment horizontal="center" vertical="center"/>
    </xf>
    <xf numFmtId="0" fontId="6" fillId="0" borderId="16" xfId="7" applyNumberFormat="1" applyBorder="1" applyAlignment="1" applyProtection="1">
      <alignment horizontal="center" vertical="center"/>
    </xf>
    <xf numFmtId="0" fontId="6" fillId="0" borderId="0" xfId="7" applyNumberFormat="1" applyBorder="1" applyAlignment="1" applyProtection="1">
      <alignment horizontal="center" vertical="center"/>
    </xf>
    <xf numFmtId="0" fontId="6" fillId="0" borderId="26" xfId="7" applyNumberFormat="1" applyBorder="1" applyAlignment="1" applyProtection="1">
      <alignment horizontal="center" vertical="center"/>
    </xf>
    <xf numFmtId="0" fontId="6" fillId="0" borderId="20" xfId="7" applyNumberFormat="1" applyBorder="1" applyAlignment="1" applyProtection="1">
      <alignment horizontal="center" vertical="center"/>
    </xf>
    <xf numFmtId="0" fontId="22" fillId="7" borderId="2" xfId="7" applyFont="1" applyFill="1" applyBorder="1" applyAlignment="1" applyProtection="1">
      <alignment horizontal="center"/>
    </xf>
    <xf numFmtId="0" fontId="6" fillId="7" borderId="0" xfId="7" applyFont="1" applyFill="1" applyBorder="1" applyAlignment="1" applyProtection="1">
      <alignment horizontal="left" vertical="center"/>
      <protection locked="0"/>
    </xf>
    <xf numFmtId="165" fontId="6" fillId="7" borderId="27" xfId="1" applyNumberFormat="1" applyFont="1" applyFill="1" applyBorder="1" applyAlignment="1" applyProtection="1">
      <alignment horizontal="center" vertical="center"/>
      <protection locked="0"/>
    </xf>
    <xf numFmtId="165" fontId="6" fillId="7" borderId="3" xfId="1" applyNumberFormat="1" applyFont="1" applyFill="1" applyBorder="1" applyAlignment="1" applyProtection="1">
      <alignment horizontal="center" vertical="center"/>
      <protection locked="0"/>
    </xf>
    <xf numFmtId="165" fontId="6" fillId="7" borderId="23" xfId="1" applyNumberFormat="1" applyFont="1" applyFill="1" applyBorder="1" applyAlignment="1" applyProtection="1">
      <alignment horizontal="center" vertical="center"/>
      <protection locked="0"/>
    </xf>
    <xf numFmtId="165" fontId="6" fillId="7" borderId="16" xfId="1" applyNumberFormat="1" applyFont="1" applyFill="1" applyBorder="1" applyAlignment="1" applyProtection="1">
      <alignment horizontal="center" vertical="center"/>
      <protection locked="0"/>
    </xf>
    <xf numFmtId="165" fontId="6" fillId="7" borderId="0" xfId="1" applyNumberFormat="1" applyFont="1" applyFill="1" applyBorder="1" applyAlignment="1" applyProtection="1">
      <alignment horizontal="center" vertical="center"/>
      <protection locked="0"/>
    </xf>
    <xf numFmtId="165" fontId="6" fillId="7" borderId="24" xfId="1" applyNumberFormat="1" applyFont="1" applyFill="1" applyBorder="1" applyAlignment="1" applyProtection="1">
      <alignment horizontal="center" vertical="center"/>
      <protection locked="0"/>
    </xf>
    <xf numFmtId="165" fontId="6" fillId="7" borderId="26" xfId="1" applyNumberFormat="1" applyFont="1" applyFill="1" applyBorder="1" applyAlignment="1" applyProtection="1">
      <alignment horizontal="center" vertical="center"/>
      <protection locked="0"/>
    </xf>
    <xf numFmtId="165" fontId="6" fillId="7" borderId="20" xfId="1" applyNumberFormat="1" applyFont="1" applyFill="1" applyBorder="1" applyAlignment="1" applyProtection="1">
      <alignment horizontal="center" vertical="center"/>
      <protection locked="0"/>
    </xf>
    <xf numFmtId="165" fontId="6" fillId="7" borderId="21" xfId="1" applyNumberFormat="1" applyFont="1" applyFill="1" applyBorder="1" applyAlignment="1" applyProtection="1">
      <alignment horizontal="center" vertical="center"/>
      <protection locked="0"/>
    </xf>
    <xf numFmtId="0" fontId="6" fillId="7" borderId="3" xfId="7" applyNumberFormat="1" applyFill="1" applyBorder="1" applyAlignment="1" applyProtection="1">
      <alignment horizontal="center" vertical="center"/>
      <protection locked="0"/>
    </xf>
    <xf numFmtId="0" fontId="6" fillId="7" borderId="23" xfId="7" applyNumberFormat="1" applyFill="1" applyBorder="1" applyAlignment="1" applyProtection="1">
      <alignment horizontal="center" vertical="center"/>
      <protection locked="0"/>
    </xf>
    <xf numFmtId="0" fontId="6" fillId="7" borderId="0" xfId="7" applyNumberFormat="1" applyFill="1" applyBorder="1" applyAlignment="1" applyProtection="1">
      <alignment horizontal="center" vertical="center"/>
      <protection locked="0"/>
    </xf>
    <xf numFmtId="0" fontId="6" fillId="7" borderId="24" xfId="7" applyNumberFormat="1" applyFill="1" applyBorder="1" applyAlignment="1" applyProtection="1">
      <alignment horizontal="center" vertical="center"/>
      <protection locked="0"/>
    </xf>
    <xf numFmtId="0" fontId="6" fillId="7" borderId="20" xfId="7" applyNumberFormat="1" applyFill="1" applyBorder="1" applyAlignment="1" applyProtection="1">
      <alignment horizontal="center" vertical="center"/>
      <protection locked="0"/>
    </xf>
    <xf numFmtId="0" fontId="6" fillId="7" borderId="21" xfId="7" applyNumberFormat="1" applyFill="1" applyBorder="1" applyAlignment="1" applyProtection="1">
      <alignment horizontal="center" vertical="center"/>
      <protection locked="0"/>
    </xf>
    <xf numFmtId="0" fontId="6" fillId="0" borderId="3" xfId="7" applyNumberFormat="1" applyFill="1" applyBorder="1" applyAlignment="1" applyProtection="1">
      <alignment horizontal="center" vertical="center"/>
    </xf>
    <xf numFmtId="0" fontId="6" fillId="0" borderId="0" xfId="7" applyNumberFormat="1" applyFill="1" applyBorder="1" applyAlignment="1" applyProtection="1">
      <alignment horizontal="center" vertical="center"/>
    </xf>
    <xf numFmtId="0" fontId="6" fillId="0" borderId="20" xfId="7" applyNumberFormat="1" applyFill="1" applyBorder="1" applyAlignment="1" applyProtection="1">
      <alignment horizontal="center" vertical="center"/>
    </xf>
    <xf numFmtId="0" fontId="6" fillId="0" borderId="0" xfId="7" applyFont="1" applyFill="1" applyBorder="1" applyAlignment="1" applyProtection="1">
      <alignment vertical="center"/>
    </xf>
    <xf numFmtId="0" fontId="6" fillId="0" borderId="0" xfId="7" applyFill="1" applyBorder="1" applyAlignment="1" applyProtection="1">
      <alignment vertical="center"/>
    </xf>
    <xf numFmtId="0" fontId="6" fillId="0" borderId="20" xfId="7" applyFill="1" applyBorder="1" applyAlignment="1" applyProtection="1">
      <alignment vertical="center"/>
    </xf>
    <xf numFmtId="0" fontId="15" fillId="0" borderId="0" xfId="7" applyFont="1" applyBorder="1" applyAlignment="1" applyProtection="1">
      <alignment horizontal="left"/>
    </xf>
    <xf numFmtId="0" fontId="15" fillId="0" borderId="9" xfId="7" applyFont="1" applyBorder="1" applyAlignment="1" applyProtection="1">
      <alignment horizontal="left"/>
    </xf>
    <xf numFmtId="0" fontId="6" fillId="0" borderId="0" xfId="7" applyFont="1" applyFill="1" applyBorder="1" applyAlignment="1" applyProtection="1">
      <alignment horizontal="left" vertical="center"/>
    </xf>
    <xf numFmtId="0" fontId="9" fillId="0" borderId="0" xfId="7" applyFont="1" applyBorder="1" applyAlignment="1" applyProtection="1">
      <alignment horizontal="right"/>
    </xf>
    <xf numFmtId="0" fontId="31" fillId="0" borderId="0" xfId="7" applyFont="1" applyFill="1" applyBorder="1" applyAlignment="1" applyProtection="1">
      <alignment horizontal="center" vertical="center" wrapText="1"/>
    </xf>
    <xf numFmtId="0" fontId="31" fillId="0" borderId="20" xfId="7" applyFont="1" applyFill="1" applyBorder="1" applyAlignment="1" applyProtection="1">
      <alignment horizontal="center" vertical="center" wrapText="1"/>
    </xf>
    <xf numFmtId="0" fontId="2" fillId="0" borderId="0" xfId="7" applyFont="1" applyFill="1" applyBorder="1" applyAlignment="1" applyProtection="1">
      <alignment horizontal="left" wrapText="1"/>
    </xf>
    <xf numFmtId="0" fontId="2" fillId="0" borderId="20" xfId="7" applyFont="1" applyFill="1" applyBorder="1" applyAlignment="1" applyProtection="1">
      <alignment horizontal="left" wrapText="1"/>
    </xf>
    <xf numFmtId="0" fontId="18" fillId="0" borderId="10" xfId="7" applyFont="1" applyBorder="1" applyAlignment="1" applyProtection="1">
      <alignment horizontal="center" vertical="center"/>
    </xf>
    <xf numFmtId="0" fontId="18" fillId="0" borderId="1" xfId="7" applyFont="1" applyBorder="1" applyAlignment="1" applyProtection="1">
      <alignment horizontal="center" vertical="center"/>
    </xf>
    <xf numFmtId="0" fontId="18" fillId="0" borderId="13" xfId="7" applyFont="1" applyBorder="1" applyAlignment="1" applyProtection="1">
      <alignment horizontal="center" vertical="center"/>
    </xf>
    <xf numFmtId="0" fontId="18" fillId="0" borderId="14" xfId="7" applyFont="1" applyBorder="1" applyAlignment="1" applyProtection="1">
      <alignment horizontal="center" vertical="center"/>
    </xf>
    <xf numFmtId="0" fontId="9" fillId="0" borderId="10" xfId="7" applyFont="1" applyBorder="1" applyAlignment="1" applyProtection="1">
      <alignment horizontal="left" vertical="center"/>
    </xf>
    <xf numFmtId="0" fontId="9" fillId="0" borderId="11" xfId="7" applyFont="1" applyBorder="1" applyAlignment="1" applyProtection="1">
      <alignment horizontal="left" vertical="center"/>
    </xf>
    <xf numFmtId="0" fontId="9" fillId="0" borderId="12" xfId="7" applyFont="1" applyBorder="1" applyAlignment="1" applyProtection="1">
      <alignment horizontal="left" vertical="center"/>
    </xf>
    <xf numFmtId="0" fontId="9" fillId="0" borderId="1" xfId="7" applyFont="1" applyBorder="1" applyAlignment="1" applyProtection="1">
      <alignment horizontal="left" vertical="center"/>
    </xf>
    <xf numFmtId="0" fontId="9" fillId="0" borderId="0" xfId="7" applyFont="1" applyBorder="1" applyAlignment="1" applyProtection="1">
      <alignment horizontal="left" vertical="center"/>
    </xf>
    <xf numFmtId="0" fontId="9" fillId="0" borderId="9" xfId="7" applyFont="1" applyBorder="1" applyAlignment="1" applyProtection="1">
      <alignment horizontal="left" vertical="center"/>
    </xf>
    <xf numFmtId="0" fontId="9" fillId="0" borderId="13" xfId="7" applyFont="1" applyBorder="1" applyAlignment="1" applyProtection="1">
      <alignment horizontal="left" vertical="center"/>
    </xf>
    <xf numFmtId="0" fontId="9" fillId="0" borderId="14" xfId="7" applyFont="1" applyBorder="1" applyAlignment="1" applyProtection="1">
      <alignment horizontal="left" vertical="center"/>
    </xf>
    <xf numFmtId="0" fontId="9" fillId="0" borderId="15" xfId="7" applyFont="1" applyBorder="1" applyAlignment="1" applyProtection="1">
      <alignment horizontal="left" vertical="center"/>
    </xf>
    <xf numFmtId="0" fontId="6" fillId="0" borderId="1" xfId="7" applyBorder="1" applyAlignment="1" applyProtection="1">
      <alignment horizontal="center" vertical="center"/>
    </xf>
    <xf numFmtId="0" fontId="6" fillId="0" borderId="13" xfId="7" applyBorder="1" applyAlignment="1" applyProtection="1">
      <alignment horizontal="center" vertical="center"/>
    </xf>
    <xf numFmtId="0" fontId="6" fillId="0" borderId="14" xfId="7" applyBorder="1" applyAlignment="1" applyProtection="1">
      <alignment horizontal="center" vertical="center"/>
    </xf>
    <xf numFmtId="0" fontId="6" fillId="0" borderId="15" xfId="7" applyBorder="1" applyAlignment="1" applyProtection="1">
      <alignment horizontal="center" vertical="center"/>
    </xf>
    <xf numFmtId="0" fontId="9" fillId="0" borderId="0" xfId="7" applyFont="1" applyAlignment="1" applyProtection="1">
      <alignment horizontal="left"/>
    </xf>
    <xf numFmtId="0" fontId="9" fillId="0" borderId="0" xfId="0" applyFont="1" applyBorder="1" applyAlignment="1" applyProtection="1">
      <alignment horizontal="center"/>
    </xf>
    <xf numFmtId="0" fontId="9" fillId="0" borderId="20" xfId="0" applyFont="1" applyBorder="1" applyAlignment="1" applyProtection="1">
      <alignment horizontal="center"/>
    </xf>
    <xf numFmtId="0" fontId="9" fillId="0" borderId="0" xfId="7" applyFont="1" applyAlignment="1" applyProtection="1">
      <alignment horizontal="right"/>
    </xf>
    <xf numFmtId="0" fontId="9" fillId="0" borderId="0" xfId="7" applyFont="1" applyBorder="1" applyAlignment="1" applyProtection="1">
      <alignment horizontal="center"/>
    </xf>
    <xf numFmtId="0" fontId="9" fillId="0" borderId="20" xfId="7" applyFont="1" applyBorder="1" applyAlignment="1" applyProtection="1">
      <alignment horizontal="center"/>
    </xf>
    <xf numFmtId="0" fontId="9" fillId="0" borderId="20" xfId="7" applyFont="1" applyBorder="1" applyAlignment="1" applyProtection="1">
      <alignment horizontal="left"/>
    </xf>
    <xf numFmtId="0" fontId="9" fillId="7" borderId="0" xfId="7" applyNumberFormat="1" applyFont="1" applyFill="1" applyBorder="1" applyAlignment="1" applyProtection="1">
      <alignment horizontal="left"/>
      <protection locked="0"/>
    </xf>
    <xf numFmtId="0" fontId="9" fillId="7" borderId="20" xfId="7" applyNumberFormat="1" applyFont="1" applyFill="1" applyBorder="1" applyAlignment="1" applyProtection="1">
      <alignment horizontal="left"/>
      <protection locked="0"/>
    </xf>
    <xf numFmtId="0" fontId="6" fillId="7" borderId="0" xfId="7" applyFont="1" applyFill="1" applyBorder="1" applyAlignment="1" applyProtection="1">
      <alignment vertical="center"/>
      <protection locked="0"/>
    </xf>
    <xf numFmtId="0" fontId="6" fillId="7" borderId="0" xfId="7" applyFill="1" applyBorder="1" applyAlignment="1" applyProtection="1">
      <alignment vertical="center"/>
      <protection locked="0"/>
    </xf>
    <xf numFmtId="0" fontId="6" fillId="7" borderId="20" xfId="7" applyFill="1" applyBorder="1" applyAlignment="1" applyProtection="1">
      <alignment vertical="center"/>
      <protection locked="0"/>
    </xf>
    <xf numFmtId="0" fontId="6" fillId="0" borderId="0" xfId="7" applyFont="1" applyFill="1" applyBorder="1" applyAlignment="1" applyProtection="1">
      <alignment horizontal="left" vertical="center" wrapText="1"/>
    </xf>
    <xf numFmtId="4" fontId="1" fillId="7" borderId="45" xfId="7" applyNumberFormat="1" applyFont="1" applyFill="1" applyBorder="1" applyAlignment="1" applyProtection="1">
      <alignment horizontal="right"/>
      <protection locked="0"/>
    </xf>
    <xf numFmtId="4" fontId="1" fillId="7" borderId="50" xfId="7" applyNumberFormat="1" applyFont="1" applyFill="1" applyBorder="1" applyAlignment="1" applyProtection="1">
      <alignment horizontal="right"/>
      <protection locked="0"/>
    </xf>
    <xf numFmtId="4" fontId="1" fillId="7" borderId="2" xfId="7" applyNumberFormat="1" applyFont="1" applyFill="1" applyBorder="1" applyAlignment="1" applyProtection="1">
      <protection locked="0"/>
    </xf>
    <xf numFmtId="0" fontId="1" fillId="0" borderId="6" xfId="7" applyFont="1" applyBorder="1" applyAlignment="1" applyProtection="1">
      <alignment horizontal="center"/>
    </xf>
    <xf numFmtId="0" fontId="2" fillId="0" borderId="41" xfId="7" applyFont="1" applyBorder="1" applyAlignment="1" applyProtection="1">
      <alignment horizontal="center" vertical="center" textRotation="90"/>
    </xf>
    <xf numFmtId="0" fontId="2" fillId="0" borderId="42" xfId="7" applyFont="1" applyBorder="1" applyAlignment="1" applyProtection="1">
      <alignment horizontal="center" vertical="center" textRotation="90"/>
    </xf>
    <xf numFmtId="0" fontId="2" fillId="0" borderId="43" xfId="7" applyFont="1" applyBorder="1" applyAlignment="1" applyProtection="1">
      <alignment horizontal="center" vertical="center" textRotation="90"/>
    </xf>
    <xf numFmtId="43" fontId="1" fillId="0" borderId="37" xfId="1" applyFont="1" applyBorder="1" applyAlignment="1" applyProtection="1"/>
    <xf numFmtId="43" fontId="1" fillId="7" borderId="37" xfId="1" applyFont="1" applyFill="1" applyBorder="1" applyAlignment="1" applyProtection="1">
      <alignment horizontal="center"/>
      <protection locked="0"/>
    </xf>
    <xf numFmtId="43" fontId="1" fillId="0" borderId="2" xfId="1" applyFont="1" applyBorder="1" applyAlignment="1" applyProtection="1"/>
    <xf numFmtId="43" fontId="1" fillId="7" borderId="22" xfId="1" applyFont="1" applyFill="1" applyBorder="1" applyAlignment="1" applyProtection="1">
      <alignment horizontal="center"/>
      <protection locked="0"/>
    </xf>
    <xf numFmtId="4" fontId="1" fillId="0" borderId="40" xfId="7" applyNumberFormat="1" applyFont="1" applyBorder="1" applyAlignment="1" applyProtection="1">
      <alignment horizontal="center"/>
    </xf>
    <xf numFmtId="0" fontId="1" fillId="0" borderId="25" xfId="7" applyFont="1" applyBorder="1" applyAlignment="1" applyProtection="1">
      <alignment horizontal="left"/>
    </xf>
    <xf numFmtId="0" fontId="1" fillId="0" borderId="8" xfId="7" applyFont="1" applyBorder="1" applyAlignment="1" applyProtection="1">
      <alignment horizontal="left"/>
    </xf>
    <xf numFmtId="0" fontId="1" fillId="0" borderId="8" xfId="7" applyFont="1" applyBorder="1" applyAlignment="1" applyProtection="1">
      <alignment horizontal="center"/>
      <protection locked="0"/>
    </xf>
    <xf numFmtId="0" fontId="6" fillId="0" borderId="0" xfId="7" applyFont="1" applyFill="1" applyAlignment="1" applyProtection="1">
      <alignment horizontal="left" vertical="center"/>
    </xf>
    <xf numFmtId="0" fontId="1" fillId="7" borderId="5" xfId="7" applyFont="1" applyFill="1" applyBorder="1" applyAlignment="1" applyProtection="1">
      <alignment horizontal="left"/>
      <protection locked="0"/>
    </xf>
    <xf numFmtId="49" fontId="22" fillId="0" borderId="20" xfId="0" applyNumberFormat="1" applyFont="1" applyBorder="1" applyAlignment="1" applyProtection="1">
      <alignment horizontal="center" vertical="center" wrapText="1"/>
    </xf>
    <xf numFmtId="49" fontId="6" fillId="0" borderId="0" xfId="0" applyNumberFormat="1" applyFont="1" applyAlignment="1" applyProtection="1">
      <alignment horizontal="left" vertical="top" wrapText="1"/>
      <protection locked="0"/>
    </xf>
    <xf numFmtId="49" fontId="9" fillId="0" borderId="0" xfId="0" applyNumberFormat="1" applyFont="1" applyAlignment="1" applyProtection="1">
      <alignment horizontal="left" vertical="top"/>
    </xf>
    <xf numFmtId="49" fontId="6"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xf>
    <xf numFmtId="49" fontId="2" fillId="0" borderId="0" xfId="0" applyNumberFormat="1" applyFont="1" applyAlignment="1" applyProtection="1">
      <alignment horizontal="left" vertical="top"/>
    </xf>
    <xf numFmtId="49" fontId="0" fillId="0" borderId="0" xfId="0" applyNumberFormat="1" applyAlignment="1" applyProtection="1">
      <alignment horizontal="left" vertical="top"/>
    </xf>
    <xf numFmtId="49" fontId="9" fillId="0" borderId="0" xfId="0" applyNumberFormat="1" applyFont="1" applyAlignment="1" applyProtection="1">
      <alignment horizontal="left" vertical="top" wrapText="1"/>
    </xf>
    <xf numFmtId="49" fontId="6" fillId="0" borderId="0" xfId="0" applyNumberFormat="1" applyFont="1" applyAlignment="1" applyProtection="1">
      <alignment horizontal="left" vertical="top"/>
    </xf>
    <xf numFmtId="49" fontId="53" fillId="0" borderId="0" xfId="0" applyNumberFormat="1" applyFont="1" applyAlignment="1" applyProtection="1">
      <alignment horizontal="left" vertical="top" wrapText="1"/>
      <protection locked="0"/>
    </xf>
    <xf numFmtId="0" fontId="53" fillId="0" borderId="0" xfId="0" applyFont="1" applyAlignment="1" applyProtection="1">
      <alignment horizontal="left" vertical="top" wrapText="1"/>
      <protection locked="0"/>
    </xf>
    <xf numFmtId="0" fontId="6" fillId="0" borderId="0" xfId="0" applyFont="1" applyAlignment="1" applyProtection="1">
      <alignment horizontal="center" vertical="top"/>
    </xf>
    <xf numFmtId="49" fontId="2" fillId="0" borderId="0" xfId="0" applyNumberFormat="1" applyFont="1" applyAlignment="1" applyProtection="1">
      <alignment horizontal="center"/>
    </xf>
    <xf numFmtId="0" fontId="9" fillId="0" borderId="0" xfId="0" applyFont="1" applyAlignment="1" applyProtection="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top"/>
    </xf>
    <xf numFmtId="0" fontId="31" fillId="0" borderId="20" xfId="0" applyFont="1" applyBorder="1" applyAlignment="1" applyProtection="1">
      <alignment horizontal="center" vertical="top" wrapText="1"/>
    </xf>
    <xf numFmtId="0" fontId="9" fillId="0" borderId="3" xfId="0" applyFont="1" applyBorder="1" applyAlignment="1" applyProtection="1">
      <alignment horizontal="center" vertical="top"/>
    </xf>
    <xf numFmtId="0" fontId="53" fillId="0" borderId="0" xfId="0" applyFont="1" applyAlignment="1" applyProtection="1">
      <alignment horizontal="center" vertical="top"/>
    </xf>
    <xf numFmtId="0" fontId="9" fillId="0" borderId="0" xfId="0" applyFont="1" applyAlignment="1" applyProtection="1">
      <alignment horizontal="left" vertical="top"/>
      <protection locked="0"/>
    </xf>
    <xf numFmtId="0" fontId="6" fillId="0" borderId="0" xfId="0" applyFont="1" applyAlignment="1" applyProtection="1">
      <alignment horizontal="left" vertical="top" wrapText="1"/>
      <protection locked="0"/>
    </xf>
    <xf numFmtId="0" fontId="59" fillId="0" borderId="0" xfId="3" applyAlignment="1" applyProtection="1">
      <alignment horizontal="left" vertical="top" wrapText="1"/>
    </xf>
    <xf numFmtId="0" fontId="6" fillId="0" borderId="20" xfId="0" applyNumberFormat="1" applyFont="1" applyBorder="1" applyAlignment="1" applyProtection="1">
      <alignment horizontal="left"/>
      <protection locked="0"/>
    </xf>
    <xf numFmtId="0" fontId="53" fillId="0" borderId="0" xfId="0" applyFont="1" applyAlignment="1" applyProtection="1">
      <alignment horizontal="center" vertical="top" wrapText="1"/>
    </xf>
    <xf numFmtId="0" fontId="73" fillId="0" borderId="20" xfId="8" applyFont="1" applyBorder="1" applyAlignment="1" applyProtection="1">
      <alignment horizontal="left" vertical="top"/>
    </xf>
    <xf numFmtId="0" fontId="69" fillId="0" borderId="3" xfId="8" applyFont="1" applyBorder="1" applyAlignment="1" applyProtection="1">
      <alignment horizontal="left" vertical="top"/>
    </xf>
    <xf numFmtId="0" fontId="73" fillId="6" borderId="4" xfId="8" applyFont="1" applyFill="1" applyBorder="1" applyAlignment="1" applyProtection="1">
      <alignment horizontal="left" vertical="top"/>
    </xf>
    <xf numFmtId="0" fontId="73" fillId="6" borderId="5" xfId="8" applyFont="1" applyFill="1" applyBorder="1" applyAlignment="1" applyProtection="1">
      <alignment horizontal="left" vertical="top"/>
    </xf>
    <xf numFmtId="0" fontId="73" fillId="6" borderId="6" xfId="8" applyFont="1" applyFill="1" applyBorder="1" applyAlignment="1" applyProtection="1">
      <alignment horizontal="left" vertical="top"/>
    </xf>
    <xf numFmtId="0" fontId="69" fillId="0" borderId="3" xfId="8" applyFont="1" applyBorder="1" applyAlignment="1" applyProtection="1">
      <alignment horizontal="center" vertical="top"/>
    </xf>
    <xf numFmtId="0" fontId="69" fillId="0" borderId="2" xfId="8" applyFont="1" applyBorder="1" applyAlignment="1" applyProtection="1">
      <alignment horizontal="left" vertical="top" wrapText="1"/>
    </xf>
    <xf numFmtId="0" fontId="69" fillId="0" borderId="2" xfId="8" applyFont="1" applyBorder="1" applyAlignment="1" applyProtection="1">
      <alignment horizontal="left" vertical="top"/>
    </xf>
    <xf numFmtId="0" fontId="73" fillId="6" borderId="2" xfId="8" applyFont="1" applyFill="1" applyBorder="1" applyAlignment="1" applyProtection="1">
      <alignment horizontal="left" vertical="top"/>
    </xf>
    <xf numFmtId="0" fontId="69" fillId="0" borderId="0" xfId="8" applyFont="1" applyBorder="1" applyAlignment="1" applyProtection="1">
      <alignment horizontal="center" vertical="top"/>
    </xf>
    <xf numFmtId="0" fontId="69" fillId="7" borderId="2" xfId="8" applyFont="1" applyFill="1" applyBorder="1" applyAlignment="1" applyProtection="1">
      <alignment horizontal="left" vertical="top"/>
      <protection locked="0"/>
    </xf>
    <xf numFmtId="0" fontId="73" fillId="0" borderId="4" xfId="8" applyFont="1" applyBorder="1" applyAlignment="1" applyProtection="1">
      <alignment horizontal="left" vertical="top"/>
    </xf>
    <xf numFmtId="0" fontId="73" fillId="0" borderId="5" xfId="8" applyFont="1" applyBorder="1" applyAlignment="1" applyProtection="1">
      <alignment horizontal="left" vertical="top"/>
    </xf>
    <xf numFmtId="0" fontId="73" fillId="0" borderId="6" xfId="8" applyFont="1" applyBorder="1" applyAlignment="1" applyProtection="1">
      <alignment horizontal="left" vertical="top"/>
    </xf>
    <xf numFmtId="0" fontId="69" fillId="7" borderId="2" xfId="8" applyFont="1" applyFill="1" applyBorder="1" applyAlignment="1" applyProtection="1">
      <alignment horizontal="center" vertical="top"/>
      <protection locked="0"/>
    </xf>
    <xf numFmtId="0" fontId="71" fillId="7" borderId="2" xfId="8" applyFont="1" applyFill="1" applyBorder="1" applyAlignment="1" applyProtection="1">
      <alignment horizontal="center" vertical="top"/>
      <protection locked="0"/>
    </xf>
    <xf numFmtId="0" fontId="73" fillId="7" borderId="20" xfId="8" applyFont="1" applyFill="1" applyBorder="1" applyAlignment="1" applyProtection="1">
      <alignment horizontal="left" vertical="top"/>
      <protection locked="0"/>
    </xf>
    <xf numFmtId="0" fontId="73" fillId="7" borderId="5" xfId="8" applyFont="1" applyFill="1" applyBorder="1" applyAlignment="1" applyProtection="1">
      <alignment horizontal="left" vertical="top"/>
      <protection locked="0"/>
    </xf>
    <xf numFmtId="4" fontId="69" fillId="7" borderId="20" xfId="8" applyNumberFormat="1" applyFont="1" applyFill="1" applyBorder="1" applyAlignment="1" applyProtection="1">
      <alignment horizontal="left" vertical="top" wrapText="1"/>
      <protection locked="0"/>
    </xf>
    <xf numFmtId="0" fontId="60" fillId="7" borderId="20" xfId="8" applyFill="1" applyBorder="1" applyAlignment="1" applyProtection="1">
      <alignment horizontal="left" vertical="top" wrapText="1"/>
      <protection locked="0"/>
    </xf>
    <xf numFmtId="4" fontId="73" fillId="0" borderId="0" xfId="8" applyNumberFormat="1" applyFont="1" applyBorder="1" applyAlignment="1" applyProtection="1">
      <alignment horizontal="left" vertical="top"/>
    </xf>
    <xf numFmtId="0" fontId="69" fillId="7" borderId="20" xfId="8" applyFont="1" applyFill="1" applyBorder="1" applyAlignment="1" applyProtection="1">
      <alignment horizontal="left" vertical="top"/>
      <protection locked="0"/>
    </xf>
    <xf numFmtId="0" fontId="60" fillId="7" borderId="20" xfId="8" applyFill="1" applyBorder="1" applyAlignment="1" applyProtection="1">
      <alignment horizontal="left" vertical="top"/>
      <protection locked="0"/>
    </xf>
    <xf numFmtId="4" fontId="69" fillId="7" borderId="5" xfId="8" applyNumberFormat="1" applyFont="1" applyFill="1" applyBorder="1" applyAlignment="1" applyProtection="1">
      <alignment horizontal="left" vertical="top" wrapText="1"/>
      <protection locked="0"/>
    </xf>
    <xf numFmtId="0" fontId="60" fillId="7" borderId="5" xfId="8" applyFill="1" applyBorder="1" applyAlignment="1" applyProtection="1">
      <alignment horizontal="left" vertical="top"/>
      <protection locked="0"/>
    </xf>
    <xf numFmtId="0" fontId="69" fillId="0" borderId="5" xfId="8" applyFont="1" applyBorder="1" applyAlignment="1" applyProtection="1">
      <alignment horizontal="left" vertical="top"/>
    </xf>
    <xf numFmtId="4" fontId="73" fillId="0" borderId="2" xfId="8" applyNumberFormat="1" applyFont="1" applyFill="1" applyBorder="1" applyAlignment="1" applyProtection="1">
      <alignment horizontal="left" vertical="top"/>
    </xf>
    <xf numFmtId="4" fontId="69" fillId="7" borderId="5" xfId="8" applyNumberFormat="1" applyFont="1" applyFill="1" applyBorder="1" applyAlignment="1" applyProtection="1">
      <alignment vertical="top" wrapText="1"/>
      <protection locked="0"/>
    </xf>
    <xf numFmtId="0" fontId="60" fillId="7" borderId="5" xfId="8" applyFill="1" applyBorder="1" applyAlignment="1" applyProtection="1">
      <alignment vertical="top"/>
      <protection locked="0"/>
    </xf>
    <xf numFmtId="0" fontId="73" fillId="0" borderId="0" xfId="8" applyFont="1" applyBorder="1" applyAlignment="1" applyProtection="1">
      <alignment horizontal="left" vertical="top"/>
    </xf>
    <xf numFmtId="0" fontId="60" fillId="7" borderId="5" xfId="8" applyFill="1" applyBorder="1" applyAlignment="1" applyProtection="1">
      <alignment horizontal="left" vertical="top" wrapText="1"/>
      <protection locked="0"/>
    </xf>
    <xf numFmtId="0" fontId="60" fillId="7" borderId="5" xfId="8" applyFill="1" applyBorder="1" applyAlignment="1" applyProtection="1">
      <alignment vertical="top" wrapText="1"/>
      <protection locked="0"/>
    </xf>
    <xf numFmtId="0" fontId="73" fillId="0" borderId="0" xfId="8" applyFont="1" applyBorder="1" applyAlignment="1" applyProtection="1">
      <alignment vertical="top"/>
    </xf>
    <xf numFmtId="4" fontId="60" fillId="0" borderId="0" xfId="8" applyNumberFormat="1" applyBorder="1" applyAlignment="1" applyProtection="1">
      <alignment horizontal="center" vertical="top"/>
    </xf>
    <xf numFmtId="0" fontId="72" fillId="0" borderId="20" xfId="8" applyFont="1" applyBorder="1" applyAlignment="1" applyProtection="1">
      <alignment horizontal="left" vertical="top"/>
    </xf>
    <xf numFmtId="0" fontId="73" fillId="0" borderId="2" xfId="8" applyFont="1" applyFill="1" applyBorder="1" applyAlignment="1" applyProtection="1">
      <alignment horizontal="left" vertical="top"/>
    </xf>
    <xf numFmtId="0" fontId="69" fillId="7" borderId="20" xfId="8" applyFont="1" applyFill="1" applyBorder="1" applyAlignment="1" applyProtection="1">
      <protection locked="0"/>
    </xf>
    <xf numFmtId="0" fontId="60" fillId="7" borderId="20" xfId="8" applyFill="1" applyBorder="1" applyAlignment="1" applyProtection="1">
      <protection locked="0"/>
    </xf>
    <xf numFmtId="0" fontId="60" fillId="7" borderId="21" xfId="8" applyFill="1" applyBorder="1" applyAlignment="1" applyProtection="1">
      <protection locked="0"/>
    </xf>
    <xf numFmtId="0" fontId="69" fillId="0" borderId="2" xfId="8" applyFont="1" applyBorder="1" applyAlignment="1" applyProtection="1">
      <alignment vertical="top" wrapText="1"/>
    </xf>
    <xf numFmtId="0" fontId="73" fillId="6" borderId="2" xfId="8" applyFont="1" applyFill="1" applyBorder="1" applyAlignment="1" applyProtection="1">
      <alignment vertical="top"/>
    </xf>
    <xf numFmtId="0" fontId="60" fillId="6" borderId="2" xfId="8" applyFill="1" applyBorder="1" applyAlignment="1" applyProtection="1">
      <alignment vertical="top"/>
    </xf>
    <xf numFmtId="0" fontId="18" fillId="0" borderId="2" xfId="8" applyFont="1" applyFill="1" applyBorder="1" applyAlignment="1" applyProtection="1">
      <alignment horizontal="left" vertical="top"/>
    </xf>
    <xf numFmtId="0" fontId="73" fillId="0" borderId="3" xfId="8" applyFont="1" applyFill="1" applyBorder="1" applyAlignment="1" applyProtection="1">
      <alignment horizontal="left" wrapText="1"/>
    </xf>
    <xf numFmtId="0" fontId="73" fillId="0" borderId="23" xfId="8" applyFont="1" applyFill="1" applyBorder="1" applyAlignment="1" applyProtection="1">
      <alignment horizontal="left" wrapText="1"/>
    </xf>
    <xf numFmtId="0" fontId="69" fillId="0" borderId="0" xfId="8" applyFont="1" applyFill="1" applyBorder="1" applyAlignment="1" applyProtection="1">
      <alignment horizontal="left"/>
    </xf>
    <xf numFmtId="0" fontId="69" fillId="0" borderId="24" xfId="8" applyFont="1" applyFill="1" applyBorder="1" applyAlignment="1" applyProtection="1">
      <alignment horizontal="left"/>
    </xf>
    <xf numFmtId="0" fontId="73" fillId="0" borderId="16" xfId="8" applyFont="1" applyFill="1" applyBorder="1" applyAlignment="1" applyProtection="1">
      <alignment horizontal="center"/>
    </xf>
    <xf numFmtId="0" fontId="73" fillId="0" borderId="0" xfId="8" applyFont="1" applyFill="1" applyBorder="1" applyAlignment="1" applyProtection="1">
      <alignment horizontal="center"/>
    </xf>
    <xf numFmtId="0" fontId="73" fillId="0" borderId="24" xfId="8" applyFont="1" applyFill="1" applyBorder="1" applyAlignment="1" applyProtection="1">
      <alignment horizontal="center"/>
    </xf>
    <xf numFmtId="0" fontId="1" fillId="8" borderId="0" xfId="6" applyFill="1" applyAlignment="1">
      <alignment horizontal="left"/>
    </xf>
    <xf numFmtId="165" fontId="66" fillId="8" borderId="0" xfId="1" applyNumberFormat="1" applyFont="1" applyFill="1" applyAlignment="1">
      <alignment horizontal="left"/>
    </xf>
    <xf numFmtId="0" fontId="2" fillId="8" borderId="0" xfId="6" applyFont="1" applyFill="1" applyBorder="1" applyAlignment="1" applyProtection="1">
      <alignment horizontal="center"/>
    </xf>
    <xf numFmtId="43" fontId="2" fillId="8" borderId="0" xfId="1" applyFont="1" applyFill="1" applyAlignment="1">
      <alignment horizontal="center"/>
    </xf>
    <xf numFmtId="0" fontId="8" fillId="8" borderId="0" xfId="6" applyFont="1" applyFill="1" applyBorder="1" applyAlignment="1" applyProtection="1">
      <alignment horizontal="center"/>
    </xf>
    <xf numFmtId="0" fontId="8" fillId="8" borderId="0" xfId="6" applyFont="1" applyFill="1" applyBorder="1" applyAlignment="1" applyProtection="1">
      <alignment horizontal="center" textRotation="90" wrapText="1"/>
    </xf>
    <xf numFmtId="0" fontId="1" fillId="8" borderId="0" xfId="6" applyFont="1" applyFill="1" applyAlignment="1">
      <alignment horizontal="left"/>
    </xf>
    <xf numFmtId="0" fontId="2" fillId="8" borderId="0" xfId="6" applyFont="1" applyFill="1" applyAlignment="1">
      <alignment horizontal="center"/>
    </xf>
    <xf numFmtId="43" fontId="2" fillId="8" borderId="0" xfId="1" applyFont="1" applyFill="1" applyAlignment="1">
      <alignment horizontal="center" wrapText="1"/>
    </xf>
    <xf numFmtId="0" fontId="2" fillId="0" borderId="0" xfId="6" applyFont="1" applyAlignment="1">
      <alignment horizontal="center"/>
    </xf>
    <xf numFmtId="0" fontId="6" fillId="0" borderId="1" xfId="7" applyBorder="1" applyAlignment="1" applyProtection="1">
      <alignment horizontal="center" textRotation="90" wrapText="1"/>
    </xf>
  </cellXfs>
  <cellStyles count="9">
    <cellStyle name="Komma" xfId="1" builtinId="3"/>
    <cellStyle name="Komma 2" xfId="2"/>
    <cellStyle name="Link" xfId="3" builtinId="8"/>
    <cellStyle name="Prozent" xfId="4" builtinId="5"/>
    <cellStyle name="Schlecht" xfId="5" builtinId="27"/>
    <cellStyle name="Standard" xfId="0" builtinId="0"/>
    <cellStyle name="Standard 2" xfId="6"/>
    <cellStyle name="Standard 3" xfId="7"/>
    <cellStyle name="Standard 4" xfId="8"/>
  </cellStyles>
  <dxfs count="20">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ndense val="0"/>
        <extend val="0"/>
        <color indexed="9"/>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fmlaLink="$K$63" lockText="1"/>
</file>

<file path=xl/ctrlProps/ctrlProp104.xml><?xml version="1.0" encoding="utf-8"?>
<formControlPr xmlns="http://schemas.microsoft.com/office/spreadsheetml/2009/9/main" objectType="CheckBox" fmlaLink="$Q$63" lockText="1"/>
</file>

<file path=xl/ctrlProps/ctrlProp105.xml><?xml version="1.0" encoding="utf-8"?>
<formControlPr xmlns="http://schemas.microsoft.com/office/spreadsheetml/2009/9/main" objectType="Drop" dropLines="13" dropStyle="combo" dx="22" fmlaLink="$B$56" fmlaRange="'Pauschalansätze etc.'!$AD$3:$AD$15" sel="13" val="0"/>
</file>

<file path=xl/ctrlProps/ctrlProp106.xml><?xml version="1.0" encoding="utf-8"?>
<formControlPr xmlns="http://schemas.microsoft.com/office/spreadsheetml/2009/9/main" objectType="Drop" dropLines="13" dropStyle="combo" dx="22" fmlaLink="$B$57" fmlaRange="'Pauschalansätze etc.'!$AD$3:$AD$15" sel="13" val="0"/>
</file>

<file path=xl/ctrlProps/ctrlProp107.xml><?xml version="1.0" encoding="utf-8"?>
<formControlPr xmlns="http://schemas.microsoft.com/office/spreadsheetml/2009/9/main" objectType="Drop" dropLines="13" dropStyle="combo" dx="22" fmlaLink="$B$58" fmlaRange="'Pauschalansätze etc.'!$AD$3:$AD$15" sel="13" val="0"/>
</file>

<file path=xl/ctrlProps/ctrlProp108.xml><?xml version="1.0" encoding="utf-8"?>
<formControlPr xmlns="http://schemas.microsoft.com/office/spreadsheetml/2009/9/main" objectType="Drop" dropLines="40" dropStyle="combo" dx="22" fmlaLink="$B$50" fmlaRange="'Pauschalansätze etc.'!$AG$3:$AG$42" sel="40" val="0"/>
</file>

<file path=xl/ctrlProps/ctrlProp109.xml><?xml version="1.0" encoding="utf-8"?>
<formControlPr xmlns="http://schemas.microsoft.com/office/spreadsheetml/2009/9/main" objectType="Drop" dropLines="40" dropStyle="combo" dx="22" fmlaLink="$B$51" fmlaRange="'Pauschalansätze etc.'!$AG$3:$AG$42" sel="40" val="0"/>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Drop" dropLines="40" dropStyle="combo" dx="22" fmlaLink="$B$52" fmlaRange="'Pauschalansätze etc.'!$AG$3:$AG$42" sel="40" val="0"/>
</file>

<file path=xl/ctrlProps/ctrlProp111.xml><?xml version="1.0" encoding="utf-8"?>
<formControlPr xmlns="http://schemas.microsoft.com/office/spreadsheetml/2009/9/main" objectType="Drop" dropLines="3" dropStyle="combo" dx="22" fmlaLink="$R$50" fmlaRange="'Pauschalansätze etc.'!$AJ$3:$AJ$5" sel="1" val="0"/>
</file>

<file path=xl/ctrlProps/ctrlProp112.xml><?xml version="1.0" encoding="utf-8"?>
<formControlPr xmlns="http://schemas.microsoft.com/office/spreadsheetml/2009/9/main" objectType="Drop" dropLines="3" dropStyle="combo" dx="22" fmlaLink="$R$51" fmlaRange="'Pauschalansätze etc.'!$AJ$3:$AJ$5" sel="1" val="0"/>
</file>

<file path=xl/ctrlProps/ctrlProp113.xml><?xml version="1.0" encoding="utf-8"?>
<formControlPr xmlns="http://schemas.microsoft.com/office/spreadsheetml/2009/9/main" objectType="Drop" dropLines="3" dropStyle="combo" dx="22" fmlaLink="$R$52" fmlaRange="'Pauschalansätze etc.'!$AJ$3:$AJ$5" sel="1" val="0"/>
</file>

<file path=xl/ctrlProps/ctrlProp114.xml><?xml version="1.0" encoding="utf-8"?>
<formControlPr xmlns="http://schemas.microsoft.com/office/spreadsheetml/2009/9/main" objectType="Drop" dropLines="3" dropStyle="combo" dx="22" fmlaLink="$T$49" fmlaRange="'Pauschalansätze etc.'!$AK$3:$AK$5" sel="1" val="0"/>
</file>

<file path=xl/ctrlProps/ctrlProp115.xml><?xml version="1.0" encoding="utf-8"?>
<formControlPr xmlns="http://schemas.microsoft.com/office/spreadsheetml/2009/9/main" objectType="Drop" dropLines="3" dropStyle="combo" dx="22" fmlaLink="$T$50" fmlaRange="'Pauschalansätze etc.'!$AK$3:$AK$5" sel="1" val="0"/>
</file>

<file path=xl/ctrlProps/ctrlProp116.xml><?xml version="1.0" encoding="utf-8"?>
<formControlPr xmlns="http://schemas.microsoft.com/office/spreadsheetml/2009/9/main" objectType="Drop" dropLines="3" dropStyle="combo" dx="22" fmlaLink="$T$51" fmlaRange="'Pauschalansätze etc.'!$AK$3:$AK$5" sel="1" val="0"/>
</file>

<file path=xl/ctrlProps/ctrlProp117.xml><?xml version="1.0" encoding="utf-8"?>
<formControlPr xmlns="http://schemas.microsoft.com/office/spreadsheetml/2009/9/main" objectType="Drop" dropLines="3" dropStyle="combo" dx="22" fmlaLink="$T$52" fmlaRange="'Pauschalansätze etc.'!$AK$3:$AK$5" sel="1" val="0"/>
</file>

<file path=xl/ctrlProps/ctrlProp118.xml><?xml version="1.0" encoding="utf-8"?>
<formControlPr xmlns="http://schemas.microsoft.com/office/spreadsheetml/2009/9/main" objectType="Drop" dropLines="4" dropStyle="combo" dx="22" fmlaLink="$V$49" fmlaRange="'Pauschalansätze etc.'!$AL$3:$AL$6" sel="1" val="0"/>
</file>

<file path=xl/ctrlProps/ctrlProp119.xml><?xml version="1.0" encoding="utf-8"?>
<formControlPr xmlns="http://schemas.microsoft.com/office/spreadsheetml/2009/9/main" objectType="Drop" dropLines="4" dropStyle="combo" dx="22" fmlaLink="$V$50" fmlaRange="'Pauschalansätze etc.'!$AL$3:$AL$6" sel="1" val="0"/>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Drop" dropLines="4" dropStyle="combo" dx="22" fmlaLink="$V$51" fmlaRange="'Pauschalansätze etc.'!$AL$3:$AL$6" sel="1" val="0"/>
</file>

<file path=xl/ctrlProps/ctrlProp121.xml><?xml version="1.0" encoding="utf-8"?>
<formControlPr xmlns="http://schemas.microsoft.com/office/spreadsheetml/2009/9/main" objectType="Drop" dropLines="4" dropStyle="combo" dx="22" fmlaLink="$V$52" fmlaRange="'Pauschalansätze etc.'!$AL$3:$AL$6" sel="1" val="0"/>
</file>

<file path=xl/ctrlProps/ctrlProp122.xml><?xml version="1.0" encoding="utf-8"?>
<formControlPr xmlns="http://schemas.microsoft.com/office/spreadsheetml/2009/9/main" objectType="Drop" dropLines="4" dropStyle="combo" dx="22" fmlaLink="$H$61" fmlaRange="'Pauschalansätze etc.'!$BD$3:$BD$6" sel="4" val="0"/>
</file>

<file path=xl/ctrlProps/ctrlProp123.xml><?xml version="1.0" encoding="utf-8"?>
<formControlPr xmlns="http://schemas.microsoft.com/office/spreadsheetml/2009/9/main" objectType="Drop" dropLines="4" dropStyle="combo" dx="22" fmlaLink="$H$62" fmlaRange="'Pauschalansätze etc.'!$BD$3:$BD$6" sel="4" val="0"/>
</file>

<file path=xl/ctrlProps/ctrlProp124.xml><?xml version="1.0" encoding="utf-8"?>
<formControlPr xmlns="http://schemas.microsoft.com/office/spreadsheetml/2009/9/main" objectType="Drop" dropLines="3" dropStyle="combo" dx="22" fmlaLink="$G$65" fmlaRange="'Pauschalansätze etc.'!$BH$3:$BH$5" sel="3" val="0"/>
</file>

<file path=xl/ctrlProps/ctrlProp125.xml><?xml version="1.0" encoding="utf-8"?>
<formControlPr xmlns="http://schemas.microsoft.com/office/spreadsheetml/2009/9/main" objectType="Drop" dropLines="4" dropStyle="combo" dx="22" fmlaLink="$V$52" fmlaRange="'Pauschalansätze etc.'!$AL$3:$AL$6" sel="1" val="0"/>
</file>

<file path=xl/ctrlProps/ctrlProp126.xml><?xml version="1.0" encoding="utf-8"?>
<formControlPr xmlns="http://schemas.microsoft.com/office/spreadsheetml/2009/9/main" objectType="Drop" dropLines="40" dropStyle="combo" dx="22" fmlaLink="$B$49" fmlaRange="'Pauschalansätze etc.'!$AG$3:$AG$42" sel="40" val="0"/>
</file>

<file path=xl/ctrlProps/ctrlProp127.xml><?xml version="1.0" encoding="utf-8"?>
<formControlPr xmlns="http://schemas.microsoft.com/office/spreadsheetml/2009/9/main" objectType="Drop" dropLines="3" dropStyle="combo" dx="22" fmlaLink="$R$49" fmlaRange="'Pauschalansätze etc.'!$AJ$3:$AJ$5" sel="1" val="0"/>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fmlaLink="$G$15" lockText="1"/>
</file>

<file path=xl/ctrlProps/ctrlProp16.xml><?xml version="1.0" encoding="utf-8"?>
<formControlPr xmlns="http://schemas.microsoft.com/office/spreadsheetml/2009/9/main" objectType="CheckBox" fmlaLink="$G$16" lockText="1"/>
</file>

<file path=xl/ctrlProps/ctrlProp17.xml><?xml version="1.0" encoding="utf-8"?>
<formControlPr xmlns="http://schemas.microsoft.com/office/spreadsheetml/2009/9/main" objectType="CheckBox" fmlaLink="$G$17" lockText="1"/>
</file>

<file path=xl/ctrlProps/ctrlProp18.xml><?xml version="1.0" encoding="utf-8"?>
<formControlPr xmlns="http://schemas.microsoft.com/office/spreadsheetml/2009/9/main" objectType="CheckBox" fmlaLink="$G$18" lockText="1"/>
</file>

<file path=xl/ctrlProps/ctrlProp19.xml><?xml version="1.0" encoding="utf-8"?>
<formControlPr xmlns="http://schemas.microsoft.com/office/spreadsheetml/2009/9/main" objectType="CheckBox" fmlaLink="$G$25"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G$24" lockText="1"/>
</file>

<file path=xl/ctrlProps/ctrlProp21.xml><?xml version="1.0" encoding="utf-8"?>
<formControlPr xmlns="http://schemas.microsoft.com/office/spreadsheetml/2009/9/main" objectType="CheckBox" fmlaLink="$G$23" lockText="1"/>
</file>

<file path=xl/ctrlProps/ctrlProp22.xml><?xml version="1.0" encoding="utf-8"?>
<formControlPr xmlns="http://schemas.microsoft.com/office/spreadsheetml/2009/9/main" objectType="CheckBox" fmlaLink="$G$22" lockText="1"/>
</file>

<file path=xl/ctrlProps/ctrlProp23.xml><?xml version="1.0" encoding="utf-8"?>
<formControlPr xmlns="http://schemas.microsoft.com/office/spreadsheetml/2009/9/main" objectType="CheckBox" fmlaLink="$G$26" lockText="1"/>
</file>

<file path=xl/ctrlProps/ctrlProp24.xml><?xml version="1.0" encoding="utf-8"?>
<formControlPr xmlns="http://schemas.microsoft.com/office/spreadsheetml/2009/9/main" objectType="CheckBox" fmlaLink="$G$27" lockText="1"/>
</file>

<file path=xl/ctrlProps/ctrlProp25.xml><?xml version="1.0" encoding="utf-8"?>
<formControlPr xmlns="http://schemas.microsoft.com/office/spreadsheetml/2009/9/main" objectType="CheckBox" fmlaLink="$G$28" lockText="1"/>
</file>

<file path=xl/ctrlProps/ctrlProp26.xml><?xml version="1.0" encoding="utf-8"?>
<formControlPr xmlns="http://schemas.microsoft.com/office/spreadsheetml/2009/9/main" objectType="CheckBox" fmlaLink="$G$29"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fmlaLink="$G$18"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G$19" lockText="1"/>
</file>

<file path=xl/ctrlProps/ctrlProp41.xml><?xml version="1.0" encoding="utf-8"?>
<formControlPr xmlns="http://schemas.microsoft.com/office/spreadsheetml/2009/9/main" objectType="CheckBox" fmlaLink="$G$20" lockText="1"/>
</file>

<file path=xl/ctrlProps/ctrlProp42.xml><?xml version="1.0" encoding="utf-8"?>
<formControlPr xmlns="http://schemas.microsoft.com/office/spreadsheetml/2009/9/main" objectType="CheckBox" fmlaLink="$G$21" lockText="1"/>
</file>

<file path=xl/ctrlProps/ctrlProp43.xml><?xml version="1.0" encoding="utf-8"?>
<formControlPr xmlns="http://schemas.microsoft.com/office/spreadsheetml/2009/9/main" objectType="CheckBox" fmlaLink="$G$17" lockText="1"/>
</file>

<file path=xl/ctrlProps/ctrlProp44.xml><?xml version="1.0" encoding="utf-8"?>
<formControlPr xmlns="http://schemas.microsoft.com/office/spreadsheetml/2009/9/main" objectType="Drop" dropLines="31" dropStyle="combo" dx="22" fmlaLink="$F$15" fmlaRange="'10_Tariftabelle'!AH4:AH34" sel="3" val="0"/>
</file>

<file path=xl/ctrlProps/ctrlProp45.xml><?xml version="1.0" encoding="utf-8"?>
<formControlPr xmlns="http://schemas.microsoft.com/office/spreadsheetml/2009/9/main" objectType="Drop" dropLines="6" dropStyle="combo" dx="22" fmlaLink="$D$17" fmlaRange="'Pauschalansätze etc.'!$AB$3:$AB$8" sel="6" val="0"/>
</file>

<file path=xl/ctrlProps/ctrlProp46.xml><?xml version="1.0" encoding="utf-8"?>
<formControlPr xmlns="http://schemas.microsoft.com/office/spreadsheetml/2009/9/main" objectType="Drop" dropLines="6" dropStyle="combo" dx="22" fmlaLink="$G$17" fmlaRange="'Pauschalansätze etc.'!$AB$3:$AB$8" sel="6" val="0"/>
</file>

<file path=xl/ctrlProps/ctrlProp47.xml><?xml version="1.0" encoding="utf-8"?>
<formControlPr xmlns="http://schemas.microsoft.com/office/spreadsheetml/2009/9/main" objectType="Drop" dropLines="6" dropStyle="combo" dx="22" fmlaLink="$J$17" fmlaRange="'Pauschalansätze etc.'!$AB$3:$AB$8" sel="6" val="0"/>
</file>

<file path=xl/ctrlProps/ctrlProp48.xml><?xml version="1.0" encoding="utf-8"?>
<formControlPr xmlns="http://schemas.microsoft.com/office/spreadsheetml/2009/9/main" objectType="Drop" dropLines="6" dropStyle="combo" dx="22" fmlaLink="$M$17" fmlaRange="'Pauschalansätze etc.'!$AB$3:$AB$8" sel="6" val="0"/>
</file>

<file path=xl/ctrlProps/ctrlProp49.xml><?xml version="1.0" encoding="utf-8"?>
<formControlPr xmlns="http://schemas.microsoft.com/office/spreadsheetml/2009/9/main" objectType="Drop" dropLines="18" dropStyle="combo" dx="22" fmlaLink="$D$19" fmlaRange="'Pauschalansätze etc.'!$AB$15:$AB$32" sel="6" val="0"/>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Drop" dropLines="18" dropStyle="combo" dx="22" fmlaLink="$G$19" fmlaRange="'Pauschalansätze etc.'!$AB$15:$AB$32" sel="6" val="0"/>
</file>

<file path=xl/ctrlProps/ctrlProp51.xml><?xml version="1.0" encoding="utf-8"?>
<formControlPr xmlns="http://schemas.microsoft.com/office/spreadsheetml/2009/9/main" objectType="Drop" dropLines="18" dropStyle="combo" dx="22" fmlaLink="$J$19" fmlaRange="'Pauschalansätze etc.'!$AB$15:$AB$32" sel="6" val="0"/>
</file>

<file path=xl/ctrlProps/ctrlProp52.xml><?xml version="1.0" encoding="utf-8"?>
<formControlPr xmlns="http://schemas.microsoft.com/office/spreadsheetml/2009/9/main" objectType="Drop" dropLines="18" dropStyle="combo" dx="22" fmlaLink="$M$19" fmlaRange="'Pauschalansätze etc.'!$AB$15:$AB$32" sel="6" val="0"/>
</file>

<file path=xl/ctrlProps/ctrlProp53.xml><?xml version="1.0" encoding="utf-8"?>
<formControlPr xmlns="http://schemas.microsoft.com/office/spreadsheetml/2009/9/main" objectType="Drop" dropLines="4" dropStyle="combo" dx="22" fmlaLink="$D$18" fmlaRange="'Pauschalansätze etc.'!$AB$10:$AB$13" sel="4" val="0"/>
</file>

<file path=xl/ctrlProps/ctrlProp54.xml><?xml version="1.0" encoding="utf-8"?>
<formControlPr xmlns="http://schemas.microsoft.com/office/spreadsheetml/2009/9/main" objectType="Drop" dropLines="4" dropStyle="combo" dx="22" fmlaLink="$G$18" fmlaRange="'Pauschalansätze etc.'!$AB$10:$AB$13" sel="4" val="0"/>
</file>

<file path=xl/ctrlProps/ctrlProp55.xml><?xml version="1.0" encoding="utf-8"?>
<formControlPr xmlns="http://schemas.microsoft.com/office/spreadsheetml/2009/9/main" objectType="Drop" dropLines="4" dropStyle="combo" dx="22" fmlaLink="$J$18" fmlaRange="'Pauschalansätze etc.'!$AB$10:$AB$13" sel="4" val="0"/>
</file>

<file path=xl/ctrlProps/ctrlProp56.xml><?xml version="1.0" encoding="utf-8"?>
<formControlPr xmlns="http://schemas.microsoft.com/office/spreadsheetml/2009/9/main" objectType="Drop" dropLines="4" dropStyle="combo" dx="22" fmlaLink="$M$18" fmlaRange="'Pauschalansätze etc.'!$AB$10:$AB$13" sel="4" val="0"/>
</file>

<file path=xl/ctrlProps/ctrlProp57.xml><?xml version="1.0" encoding="utf-8"?>
<formControlPr xmlns="http://schemas.microsoft.com/office/spreadsheetml/2009/9/main" objectType="Drop" dropLines="6" dropStyle="combo" dx="22" fmlaLink="$P$17" fmlaRange="'Pauschalansätze etc.'!$AB$3:$AB$8" sel="6" val="0"/>
</file>

<file path=xl/ctrlProps/ctrlProp58.xml><?xml version="1.0" encoding="utf-8"?>
<formControlPr xmlns="http://schemas.microsoft.com/office/spreadsheetml/2009/9/main" objectType="Drop" dropLines="18" dropStyle="combo" dx="22" fmlaLink="$P$19" fmlaRange="'Pauschalansätze etc.'!$AB$15:$AB$32" sel="6" val="0"/>
</file>

<file path=xl/ctrlProps/ctrlProp59.xml><?xml version="1.0" encoding="utf-8"?>
<formControlPr xmlns="http://schemas.microsoft.com/office/spreadsheetml/2009/9/main" objectType="Drop" dropLines="4" dropStyle="combo" dx="22" fmlaLink="$P$18" fmlaRange="'Pauschalansätze etc.'!$AB$10:$AB$13" sel="4" val="0"/>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Drop" dropLines="6" dropStyle="combo" dx="22" fmlaLink="$S$17" fmlaRange="'Pauschalansätze etc.'!$AB$3:$AB$8" sel="6" val="0"/>
</file>

<file path=xl/ctrlProps/ctrlProp61.xml><?xml version="1.0" encoding="utf-8"?>
<formControlPr xmlns="http://schemas.microsoft.com/office/spreadsheetml/2009/9/main" objectType="Drop" dropLines="18" dropStyle="combo" dx="22" fmlaLink="$S$19" fmlaRange="'Pauschalansätze etc.'!$AB$15:$AB$32" sel="6" val="0"/>
</file>

<file path=xl/ctrlProps/ctrlProp62.xml><?xml version="1.0" encoding="utf-8"?>
<formControlPr xmlns="http://schemas.microsoft.com/office/spreadsheetml/2009/9/main" objectType="Drop" dropLines="4" dropStyle="combo" dx="22" fmlaLink="$S$18" fmlaRange="'Pauschalansätze etc.'!$AB$10:$AB$13" sel="4" val="0"/>
</file>

<file path=xl/ctrlProps/ctrlProp63.xml><?xml version="1.0" encoding="utf-8"?>
<formControlPr xmlns="http://schemas.microsoft.com/office/spreadsheetml/2009/9/main" objectType="Drop" dropLines="6" dropStyle="combo" dx="22" fmlaLink="$V$17" fmlaRange="'Pauschalansätze etc.'!$AB$3:$AB$8" sel="6" val="0"/>
</file>

<file path=xl/ctrlProps/ctrlProp64.xml><?xml version="1.0" encoding="utf-8"?>
<formControlPr xmlns="http://schemas.microsoft.com/office/spreadsheetml/2009/9/main" objectType="Drop" dropLines="18" dropStyle="combo" dx="22" fmlaLink="$V$19" fmlaRange="'Pauschalansätze etc.'!$AB$15:$AB$32" sel="6" val="0"/>
</file>

<file path=xl/ctrlProps/ctrlProp65.xml><?xml version="1.0" encoding="utf-8"?>
<formControlPr xmlns="http://schemas.microsoft.com/office/spreadsheetml/2009/9/main" objectType="Drop" dropLines="4" dropStyle="combo" dx="22" fmlaLink="$V$18" fmlaRange="'Pauschalansätze etc.'!$AB$10:$AB$13" sel="4" val="0"/>
</file>

<file path=xl/ctrlProps/ctrlProp66.xml><?xml version="1.0" encoding="utf-8"?>
<formControlPr xmlns="http://schemas.microsoft.com/office/spreadsheetml/2009/9/main" objectType="Drop" dropLines="6" dropStyle="combo" dx="22" fmlaLink="$Y$17" fmlaRange="'Pauschalansätze etc.'!$AB$3:$AB$8" sel="6" val="0"/>
</file>

<file path=xl/ctrlProps/ctrlProp67.xml><?xml version="1.0" encoding="utf-8"?>
<formControlPr xmlns="http://schemas.microsoft.com/office/spreadsheetml/2009/9/main" objectType="Drop" dropLines="18" dropStyle="combo" dx="22" fmlaLink="$Y$19" fmlaRange="'Pauschalansätze etc.'!$AB$15:$AB$32" sel="6" val="0"/>
</file>

<file path=xl/ctrlProps/ctrlProp68.xml><?xml version="1.0" encoding="utf-8"?>
<formControlPr xmlns="http://schemas.microsoft.com/office/spreadsheetml/2009/9/main" objectType="Drop" dropLines="4" dropStyle="combo" dx="22" fmlaLink="$Y$18" fmlaRange="'Pauschalansätze etc.'!$AB$10:$AB$13" sel="4" val="0"/>
</file>

<file path=xl/ctrlProps/ctrlProp69.xml><?xml version="1.0" encoding="utf-8"?>
<formControlPr xmlns="http://schemas.microsoft.com/office/spreadsheetml/2009/9/main" objectType="Drop" dropStyle="combo" dx="22" fmlaLink="$D$7" fmlaRange="'Pauschalansätze etc.'!$B$17:$B$20" noThreeD="1" sel="1" val="0"/>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E$10" lockText="1"/>
</file>

<file path=xl/ctrlProps/ctrlProp71.xml><?xml version="1.0" encoding="utf-8"?>
<formControlPr xmlns="http://schemas.microsoft.com/office/spreadsheetml/2009/9/main" objectType="Drop" dropStyle="combo" dx="22" fmlaLink="$E$11" fmlaRange="'Pauschalansätze etc.'!$B$30:$B$34" noThreeD="1" sel="5" val="0"/>
</file>

<file path=xl/ctrlProps/ctrlProp72.xml><?xml version="1.0" encoding="utf-8"?>
<formControlPr xmlns="http://schemas.microsoft.com/office/spreadsheetml/2009/9/main" objectType="CheckBox" fmlaLink="$E$13" lockText="1"/>
</file>

<file path=xl/ctrlProps/ctrlProp73.xml><?xml version="1.0" encoding="utf-8"?>
<formControlPr xmlns="http://schemas.microsoft.com/office/spreadsheetml/2009/9/main" objectType="CheckBox" fmlaLink="$E$14" lockText="1"/>
</file>

<file path=xl/ctrlProps/ctrlProp74.xml><?xml version="1.0" encoding="utf-8"?>
<formControlPr xmlns="http://schemas.microsoft.com/office/spreadsheetml/2009/9/main" objectType="Drop" dropStyle="combo" dx="22" fmlaLink="$E$16" fmlaRange="'Pauschalansätze etc.'!$B$44:$B$48" noThreeD="1" sel="5" val="0"/>
</file>

<file path=xl/ctrlProps/ctrlProp75.xml><?xml version="1.0" encoding="utf-8"?>
<formControlPr xmlns="http://schemas.microsoft.com/office/spreadsheetml/2009/9/main" objectType="Drop" dropStyle="combo" dx="22" fmlaLink="$E$25" fmlaRange="'Pauschalansätze etc.'!$B$61:$B$66" noThreeD="1" sel="6" val="0"/>
</file>

<file path=xl/ctrlProps/ctrlProp76.xml><?xml version="1.0" encoding="utf-8"?>
<formControlPr xmlns="http://schemas.microsoft.com/office/spreadsheetml/2009/9/main" objectType="Drop" dropStyle="combo" dx="22" fmlaLink="$E$26" fmlaRange="'Pauschalansätze etc.'!$B$69:$B$75" noThreeD="1" sel="7" val="0"/>
</file>

<file path=xl/ctrlProps/ctrlProp77.xml><?xml version="1.0" encoding="utf-8"?>
<formControlPr xmlns="http://schemas.microsoft.com/office/spreadsheetml/2009/9/main" objectType="CheckBox" fmlaLink="$E$18" lockText="1"/>
</file>

<file path=xl/ctrlProps/ctrlProp78.xml><?xml version="1.0" encoding="utf-8"?>
<formControlPr xmlns="http://schemas.microsoft.com/office/spreadsheetml/2009/9/main" objectType="CheckBox" fmlaLink="$E$27" lockText="1"/>
</file>

<file path=xl/ctrlProps/ctrlProp79.xml><?xml version="1.0" encoding="utf-8"?>
<formControlPr xmlns="http://schemas.microsoft.com/office/spreadsheetml/2009/9/main" objectType="Drop" dropStyle="combo" dx="22" fmlaLink="$E$30" fmlaRange="'Pauschalansätze etc.'!$B$85:$B$91" noThreeD="1" sel="7" val="0"/>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E$29" lockText="1"/>
</file>

<file path=xl/ctrlProps/ctrlProp81.xml><?xml version="1.0" encoding="utf-8"?>
<formControlPr xmlns="http://schemas.microsoft.com/office/spreadsheetml/2009/9/main" objectType="Drop" dropStyle="combo" dx="22" fmlaLink="$E$36" fmlaRange="'Pauschalansätze etc.'!$B$163:$B$168" noThreeD="1" sel="1" val="0"/>
</file>

<file path=xl/ctrlProps/ctrlProp82.xml><?xml version="1.0" encoding="utf-8"?>
<formControlPr xmlns="http://schemas.microsoft.com/office/spreadsheetml/2009/9/main" objectType="Drop" dropStyle="combo" dx="22" fmlaLink="$E$35" fmlaRange="'Pauschalansätze etc.'!$B$153:$B$160" noThreeD="1" sel="1" val="0"/>
</file>

<file path=xl/ctrlProps/ctrlProp83.xml><?xml version="1.0" encoding="utf-8"?>
<formControlPr xmlns="http://schemas.microsoft.com/office/spreadsheetml/2009/9/main" objectType="Drop" dropStyle="combo" dx="22" fmlaLink="$E$34" fmlaRange="'Pauschalansätze etc.'!$B$148:$B$150" noThreeD="1" sel="3" val="0"/>
</file>

<file path=xl/ctrlProps/ctrlProp84.xml><?xml version="1.0" encoding="utf-8"?>
<formControlPr xmlns="http://schemas.microsoft.com/office/spreadsheetml/2009/9/main" objectType="Drop" dropLines="10" dropStyle="combo" dx="22" fmlaLink="$E$47" fmlaRange="'Pauschalansätze etc.'!$B$124:$B$133" noThreeD="1" sel="9" val="0"/>
</file>

<file path=xl/ctrlProps/ctrlProp85.xml><?xml version="1.0" encoding="utf-8"?>
<formControlPr xmlns="http://schemas.microsoft.com/office/spreadsheetml/2009/9/main" objectType="CheckBox" fmlaLink="$E$31" lockText="1"/>
</file>

<file path=xl/ctrlProps/ctrlProp86.xml><?xml version="1.0" encoding="utf-8"?>
<formControlPr xmlns="http://schemas.microsoft.com/office/spreadsheetml/2009/9/main" objectType="Drop" dropStyle="combo" dx="22" fmlaLink="$E$33" fmlaRange="'Pauschalansätze etc.'!$B$143:$B$145" noThreeD="1" sel="3" val="0"/>
</file>

<file path=xl/ctrlProps/ctrlProp87.xml><?xml version="1.0" encoding="utf-8"?>
<formControlPr xmlns="http://schemas.microsoft.com/office/spreadsheetml/2009/9/main" objectType="Drop" dropStyle="combo" dx="22" fmlaLink="$E$32" fmlaRange="'Pauschalansätze etc.'!$B$136:$B$140" noThreeD="1" sel="5" val="0"/>
</file>

<file path=xl/ctrlProps/ctrlProp88.xml><?xml version="1.0" encoding="utf-8"?>
<formControlPr xmlns="http://schemas.microsoft.com/office/spreadsheetml/2009/9/main" objectType="CheckBox" fmlaLink="$F$18" lockText="1"/>
</file>

<file path=xl/ctrlProps/ctrlProp89.xml><?xml version="1.0" encoding="utf-8"?>
<formControlPr xmlns="http://schemas.microsoft.com/office/spreadsheetml/2009/9/main" objectType="Drop" dropStyle="combo" dx="22" fmlaLink="$E$41" fmlaRange="'Pauschalansätze etc.'!$B$171:$B$174" noThreeD="1" sel="1" val="0"/>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fmlaLink="$E$24"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fmlaLink="$E$12" lockText="1"/>
</file>

<file path=xl/ctrlProps/ctrlProp93.xml><?xml version="1.0" encoding="utf-8"?>
<formControlPr xmlns="http://schemas.microsoft.com/office/spreadsheetml/2009/9/main" objectType="CheckBox" fmlaLink="$E$17" lockText="1"/>
</file>

<file path=xl/ctrlProps/ctrlProp94.xml><?xml version="1.0" encoding="utf-8"?>
<formControlPr xmlns="http://schemas.microsoft.com/office/spreadsheetml/2009/9/main" objectType="CheckBox" fmlaLink="$F$17" lockText="1"/>
</file>

<file path=xl/ctrlProps/ctrlProp95.xml><?xml version="1.0" encoding="utf-8"?>
<formControlPr xmlns="http://schemas.microsoft.com/office/spreadsheetml/2009/9/main" objectType="CheckBox" fmlaLink="$E$28" lockText="1"/>
</file>

<file path=xl/ctrlProps/ctrlProp96.xml><?xml version="1.0" encoding="utf-8"?>
<formControlPr xmlns="http://schemas.microsoft.com/office/spreadsheetml/2009/9/main" objectType="CheckBox" fmlaLink="$E$29" lockText="1"/>
</file>

<file path=xl/ctrlProps/ctrlProp97.xml><?xml version="1.0" encoding="utf-8"?>
<formControlPr xmlns="http://schemas.microsoft.com/office/spreadsheetml/2009/9/main" objectType="CheckBox" fmlaLink="$A$53"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314325</xdr:colOff>
      <xdr:row>35</xdr:row>
      <xdr:rowOff>47625</xdr:rowOff>
    </xdr:from>
    <xdr:to>
      <xdr:col>16</xdr:col>
      <xdr:colOff>276225</xdr:colOff>
      <xdr:row>35</xdr:row>
      <xdr:rowOff>257175</xdr:rowOff>
    </xdr:to>
    <xdr:sp macro="" textlink="">
      <xdr:nvSpPr>
        <xdr:cNvPr id="2" name="Text Box 1"/>
        <xdr:cNvSpPr txBox="1">
          <a:spLocks noChangeArrowheads="1"/>
        </xdr:cNvSpPr>
      </xdr:nvSpPr>
      <xdr:spPr bwMode="auto">
        <a:xfrm>
          <a:off x="6686550" y="6581775"/>
          <a:ext cx="0"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1100" b="0" i="0" u="none" strike="noStrike" baseline="0">
              <a:solidFill>
                <a:srgbClr val="000000"/>
              </a:solidFill>
              <a:latin typeface="Arial"/>
              <a:cs typeface="Arial"/>
            </a:rPr>
            <a:t>%%</a:t>
          </a:r>
        </a:p>
      </xdr:txBody>
    </xdr:sp>
    <xdr:clientData/>
  </xdr:twoCellAnchor>
  <xdr:twoCellAnchor>
    <xdr:from>
      <xdr:col>16</xdr:col>
      <xdr:colOff>314325</xdr:colOff>
      <xdr:row>40</xdr:row>
      <xdr:rowOff>47625</xdr:rowOff>
    </xdr:from>
    <xdr:to>
      <xdr:col>16</xdr:col>
      <xdr:colOff>276225</xdr:colOff>
      <xdr:row>40</xdr:row>
      <xdr:rowOff>257175</xdr:rowOff>
    </xdr:to>
    <xdr:sp macro="" textlink="">
      <xdr:nvSpPr>
        <xdr:cNvPr id="4" name="Text Box 3"/>
        <xdr:cNvSpPr txBox="1">
          <a:spLocks noChangeArrowheads="1"/>
        </xdr:cNvSpPr>
      </xdr:nvSpPr>
      <xdr:spPr bwMode="auto">
        <a:xfrm>
          <a:off x="6686550" y="7372350"/>
          <a:ext cx="0"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1100" b="0" i="0" u="none" strike="noStrike" baseline="0">
              <a:solidFill>
                <a:srgbClr val="000000"/>
              </a:solidFill>
              <a:latin typeface="Arial"/>
              <a:cs typeface="Arial"/>
            </a:rPr>
            <a:t>%%</a:t>
          </a:r>
        </a:p>
      </xdr:txBody>
    </xdr:sp>
    <xdr:clientData/>
  </xdr:twoCellAnchor>
  <xdr:twoCellAnchor>
    <xdr:from>
      <xdr:col>16</xdr:col>
      <xdr:colOff>314325</xdr:colOff>
      <xdr:row>45</xdr:row>
      <xdr:rowOff>47625</xdr:rowOff>
    </xdr:from>
    <xdr:to>
      <xdr:col>16</xdr:col>
      <xdr:colOff>276225</xdr:colOff>
      <xdr:row>45</xdr:row>
      <xdr:rowOff>257175</xdr:rowOff>
    </xdr:to>
    <xdr:sp macro="" textlink="">
      <xdr:nvSpPr>
        <xdr:cNvPr id="6" name="Text Box 5"/>
        <xdr:cNvSpPr txBox="1">
          <a:spLocks noChangeArrowheads="1"/>
        </xdr:cNvSpPr>
      </xdr:nvSpPr>
      <xdr:spPr bwMode="auto">
        <a:xfrm>
          <a:off x="6686550" y="8162925"/>
          <a:ext cx="0"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1100" b="0" i="0" u="none" strike="noStrike" baseline="0">
              <a:solidFill>
                <a:srgbClr val="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12</xdr:row>
          <xdr:rowOff>28575</xdr:rowOff>
        </xdr:from>
        <xdr:to>
          <xdr:col>7</xdr:col>
          <xdr:colOff>0</xdr:colOff>
          <xdr:row>12</xdr:row>
          <xdr:rowOff>200025</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28575</xdr:rowOff>
        </xdr:from>
        <xdr:to>
          <xdr:col>7</xdr:col>
          <xdr:colOff>0</xdr:colOff>
          <xdr:row>14</xdr:row>
          <xdr:rowOff>200025</xdr:rowOff>
        </xdr:to>
        <xdr:sp macro="" textlink="">
          <xdr:nvSpPr>
            <xdr:cNvPr id="70658" name="Check Box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28575</xdr:rowOff>
        </xdr:from>
        <xdr:to>
          <xdr:col>7</xdr:col>
          <xdr:colOff>0</xdr:colOff>
          <xdr:row>16</xdr:row>
          <xdr:rowOff>200025</xdr:rowOff>
        </xdr:to>
        <xdr:sp macro="" textlink="">
          <xdr:nvSpPr>
            <xdr:cNvPr id="70659" name="Check Box 3" hidden="1">
              <a:extLst>
                <a:ext uri="{63B3BB69-23CF-44E3-9099-C40C66FF867C}">
                  <a14:compatExt spid="_x0000_s70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28575</xdr:rowOff>
        </xdr:from>
        <xdr:to>
          <xdr:col>13</xdr:col>
          <xdr:colOff>0</xdr:colOff>
          <xdr:row>14</xdr:row>
          <xdr:rowOff>200025</xdr:rowOff>
        </xdr:to>
        <xdr:sp macro="" textlink="">
          <xdr:nvSpPr>
            <xdr:cNvPr id="70660" name="Check Box 4" hidden="1">
              <a:extLst>
                <a:ext uri="{63B3BB69-23CF-44E3-9099-C40C66FF867C}">
                  <a14:compatExt spid="_x0000_s70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28575</xdr:rowOff>
        </xdr:from>
        <xdr:to>
          <xdr:col>13</xdr:col>
          <xdr:colOff>0</xdr:colOff>
          <xdr:row>12</xdr:row>
          <xdr:rowOff>200025</xdr:rowOff>
        </xdr:to>
        <xdr:sp macro="" textlink="">
          <xdr:nvSpPr>
            <xdr:cNvPr id="70661" name="Check Box 5" hidden="1">
              <a:extLst>
                <a:ext uri="{63B3BB69-23CF-44E3-9099-C40C66FF867C}">
                  <a14:compatExt spid="_x0000_s70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28575</xdr:rowOff>
        </xdr:from>
        <xdr:to>
          <xdr:col>13</xdr:col>
          <xdr:colOff>0</xdr:colOff>
          <xdr:row>16</xdr:row>
          <xdr:rowOff>200025</xdr:rowOff>
        </xdr:to>
        <xdr:sp macro="" textlink="">
          <xdr:nvSpPr>
            <xdr:cNvPr id="70662" name="Check Box 6" hidden="1">
              <a:extLst>
                <a:ext uri="{63B3BB69-23CF-44E3-9099-C40C66FF867C}">
                  <a14:compatExt spid="_x0000_s70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xdr:row>
          <xdr:rowOff>28575</xdr:rowOff>
        </xdr:from>
        <xdr:to>
          <xdr:col>18</xdr:col>
          <xdr:colOff>0</xdr:colOff>
          <xdr:row>12</xdr:row>
          <xdr:rowOff>200025</xdr:rowOff>
        </xdr:to>
        <xdr:sp macro="" textlink="">
          <xdr:nvSpPr>
            <xdr:cNvPr id="70663" name="Check Box 7" hidden="1">
              <a:extLst>
                <a:ext uri="{63B3BB69-23CF-44E3-9099-C40C66FF867C}">
                  <a14:compatExt spid="_x0000_s70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28575</xdr:rowOff>
        </xdr:from>
        <xdr:to>
          <xdr:col>7</xdr:col>
          <xdr:colOff>0</xdr:colOff>
          <xdr:row>18</xdr:row>
          <xdr:rowOff>200025</xdr:rowOff>
        </xdr:to>
        <xdr:sp macro="" textlink="">
          <xdr:nvSpPr>
            <xdr:cNvPr id="70664" name="Check Box 8" hidden="1">
              <a:extLst>
                <a:ext uri="{63B3BB69-23CF-44E3-9099-C40C66FF867C}">
                  <a14:compatExt spid="_x0000_s70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38100</xdr:rowOff>
        </xdr:from>
        <xdr:to>
          <xdr:col>6</xdr:col>
          <xdr:colOff>0</xdr:colOff>
          <xdr:row>22</xdr:row>
          <xdr:rowOff>209550</xdr:rowOff>
        </xdr:to>
        <xdr:sp macro="" textlink="">
          <xdr:nvSpPr>
            <xdr:cNvPr id="70665" name="Check Box 9" hidden="1">
              <a:extLst>
                <a:ext uri="{63B3BB69-23CF-44E3-9099-C40C66FF867C}">
                  <a14:compatExt spid="_x0000_s7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38100</xdr:rowOff>
        </xdr:from>
        <xdr:to>
          <xdr:col>6</xdr:col>
          <xdr:colOff>0</xdr:colOff>
          <xdr:row>23</xdr:row>
          <xdr:rowOff>209550</xdr:rowOff>
        </xdr:to>
        <xdr:sp macro="" textlink="">
          <xdr:nvSpPr>
            <xdr:cNvPr id="70666" name="Check Box 10" hidden="1">
              <a:extLst>
                <a:ext uri="{63B3BB69-23CF-44E3-9099-C40C66FF867C}">
                  <a14:compatExt spid="_x0000_s70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28575</xdr:rowOff>
        </xdr:from>
        <xdr:to>
          <xdr:col>6</xdr:col>
          <xdr:colOff>0</xdr:colOff>
          <xdr:row>24</xdr:row>
          <xdr:rowOff>200025</xdr:rowOff>
        </xdr:to>
        <xdr:sp macro="" textlink="">
          <xdr:nvSpPr>
            <xdr:cNvPr id="70667" name="Check Box 11" hidden="1">
              <a:extLst>
                <a:ext uri="{63B3BB69-23CF-44E3-9099-C40C66FF867C}">
                  <a14:compatExt spid="_x0000_s70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38100</xdr:rowOff>
        </xdr:from>
        <xdr:to>
          <xdr:col>6</xdr:col>
          <xdr:colOff>0</xdr:colOff>
          <xdr:row>25</xdr:row>
          <xdr:rowOff>209550</xdr:rowOff>
        </xdr:to>
        <xdr:sp macro="" textlink="">
          <xdr:nvSpPr>
            <xdr:cNvPr id="70668" name="Check Box 12" hidden="1">
              <a:extLst>
                <a:ext uri="{63B3BB69-23CF-44E3-9099-C40C66FF867C}">
                  <a14:compatExt spid="_x0000_s70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28575</xdr:rowOff>
        </xdr:from>
        <xdr:to>
          <xdr:col>6</xdr:col>
          <xdr:colOff>0</xdr:colOff>
          <xdr:row>26</xdr:row>
          <xdr:rowOff>200025</xdr:rowOff>
        </xdr:to>
        <xdr:sp macro="" textlink="">
          <xdr:nvSpPr>
            <xdr:cNvPr id="70669" name="Check Box 13" hidden="1">
              <a:extLst>
                <a:ext uri="{63B3BB69-23CF-44E3-9099-C40C66FF867C}">
                  <a14:compatExt spid="_x0000_s70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28575</xdr:rowOff>
        </xdr:from>
        <xdr:to>
          <xdr:col>8</xdr:col>
          <xdr:colOff>0</xdr:colOff>
          <xdr:row>31</xdr:row>
          <xdr:rowOff>200025</xdr:rowOff>
        </xdr:to>
        <xdr:sp macro="" textlink="">
          <xdr:nvSpPr>
            <xdr:cNvPr id="70670" name="Check Box 14" hidden="1">
              <a:extLst>
                <a:ext uri="{63B3BB69-23CF-44E3-9099-C40C66FF867C}">
                  <a14:compatExt spid="_x0000_s70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16</xdr:row>
          <xdr:rowOff>152400</xdr:rowOff>
        </xdr:from>
        <xdr:to>
          <xdr:col>1</xdr:col>
          <xdr:colOff>628650</xdr:colOff>
          <xdr:row>16</xdr:row>
          <xdr:rowOff>323850</xdr:rowOff>
        </xdr:to>
        <xdr:sp macro="" textlink="">
          <xdr:nvSpPr>
            <xdr:cNvPr id="76803" name="Check Box 3" hidden="1">
              <a:extLst>
                <a:ext uri="{63B3BB69-23CF-44E3-9099-C40C66FF867C}">
                  <a14:compatExt spid="_x0000_s7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xdr:row>
          <xdr:rowOff>152400</xdr:rowOff>
        </xdr:from>
        <xdr:to>
          <xdr:col>2</xdr:col>
          <xdr:colOff>628650</xdr:colOff>
          <xdr:row>16</xdr:row>
          <xdr:rowOff>323850</xdr:rowOff>
        </xdr:to>
        <xdr:sp macro="" textlink="">
          <xdr:nvSpPr>
            <xdr:cNvPr id="76804" name="Check Box 4" hidden="1">
              <a:extLst>
                <a:ext uri="{63B3BB69-23CF-44E3-9099-C40C66FF867C}">
                  <a14:compatExt spid="_x0000_s7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16</xdr:row>
          <xdr:rowOff>152400</xdr:rowOff>
        </xdr:from>
        <xdr:to>
          <xdr:col>3</xdr:col>
          <xdr:colOff>590550</xdr:colOff>
          <xdr:row>16</xdr:row>
          <xdr:rowOff>323850</xdr:rowOff>
        </xdr:to>
        <xdr:sp macro="" textlink="">
          <xdr:nvSpPr>
            <xdr:cNvPr id="76805" name="Check Box 5" hidden="1">
              <a:extLst>
                <a:ext uri="{63B3BB69-23CF-44E3-9099-C40C66FF867C}">
                  <a14:compatExt spid="_x0000_s7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16</xdr:row>
          <xdr:rowOff>152400</xdr:rowOff>
        </xdr:from>
        <xdr:to>
          <xdr:col>4</xdr:col>
          <xdr:colOff>600075</xdr:colOff>
          <xdr:row>16</xdr:row>
          <xdr:rowOff>323850</xdr:rowOff>
        </xdr:to>
        <xdr:sp macro="" textlink="">
          <xdr:nvSpPr>
            <xdr:cNvPr id="76806" name="Check Box 6" hidden="1">
              <a:extLst>
                <a:ext uri="{63B3BB69-23CF-44E3-9099-C40C66FF867C}">
                  <a14:compatExt spid="_x0000_s7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22</xdr:row>
          <xdr:rowOff>152400</xdr:rowOff>
        </xdr:from>
        <xdr:to>
          <xdr:col>4</xdr:col>
          <xdr:colOff>571500</xdr:colOff>
          <xdr:row>22</xdr:row>
          <xdr:rowOff>323850</xdr:rowOff>
        </xdr:to>
        <xdr:sp macro="" textlink="">
          <xdr:nvSpPr>
            <xdr:cNvPr id="76807" name="Check Box 7" hidden="1">
              <a:extLst>
                <a:ext uri="{63B3BB69-23CF-44E3-9099-C40C66FF867C}">
                  <a14:compatExt spid="_x0000_s7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23</xdr:row>
          <xdr:rowOff>0</xdr:rowOff>
        </xdr:from>
        <xdr:to>
          <xdr:col>3</xdr:col>
          <xdr:colOff>561975</xdr:colOff>
          <xdr:row>24</xdr:row>
          <xdr:rowOff>9525</xdr:rowOff>
        </xdr:to>
        <xdr:sp macro="" textlink="">
          <xdr:nvSpPr>
            <xdr:cNvPr id="76808" name="Check Box 8" hidden="1">
              <a:extLst>
                <a:ext uri="{63B3BB69-23CF-44E3-9099-C40C66FF867C}">
                  <a14:compatExt spid="_x0000_s7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22</xdr:row>
          <xdr:rowOff>152400</xdr:rowOff>
        </xdr:from>
        <xdr:to>
          <xdr:col>2</xdr:col>
          <xdr:colOff>590550</xdr:colOff>
          <xdr:row>22</xdr:row>
          <xdr:rowOff>323850</xdr:rowOff>
        </xdr:to>
        <xdr:sp macro="" textlink="">
          <xdr:nvSpPr>
            <xdr:cNvPr id="76809" name="Check Box 9" hidden="1">
              <a:extLst>
                <a:ext uri="{63B3BB69-23CF-44E3-9099-C40C66FF867C}">
                  <a14:compatExt spid="_x0000_s7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22</xdr:row>
          <xdr:rowOff>152400</xdr:rowOff>
        </xdr:from>
        <xdr:to>
          <xdr:col>1</xdr:col>
          <xdr:colOff>590550</xdr:colOff>
          <xdr:row>22</xdr:row>
          <xdr:rowOff>323850</xdr:rowOff>
        </xdr:to>
        <xdr:sp macro="" textlink="">
          <xdr:nvSpPr>
            <xdr:cNvPr id="76810" name="Check Box 10" hidden="1">
              <a:extLst>
                <a:ext uri="{63B3BB69-23CF-44E3-9099-C40C66FF867C}">
                  <a14:compatExt spid="_x0000_s7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26</xdr:row>
          <xdr:rowOff>152400</xdr:rowOff>
        </xdr:from>
        <xdr:to>
          <xdr:col>1</xdr:col>
          <xdr:colOff>581025</xdr:colOff>
          <xdr:row>26</xdr:row>
          <xdr:rowOff>323850</xdr:rowOff>
        </xdr:to>
        <xdr:sp macro="" textlink="">
          <xdr:nvSpPr>
            <xdr:cNvPr id="76811" name="Check Box 11" hidden="1">
              <a:extLst>
                <a:ext uri="{63B3BB69-23CF-44E3-9099-C40C66FF867C}">
                  <a14:compatExt spid="_x0000_s76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26</xdr:row>
          <xdr:rowOff>152400</xdr:rowOff>
        </xdr:from>
        <xdr:to>
          <xdr:col>2</xdr:col>
          <xdr:colOff>590550</xdr:colOff>
          <xdr:row>26</xdr:row>
          <xdr:rowOff>323850</xdr:rowOff>
        </xdr:to>
        <xdr:sp macro="" textlink="">
          <xdr:nvSpPr>
            <xdr:cNvPr id="76812" name="Check Box 12" hidden="1">
              <a:extLst>
                <a:ext uri="{63B3BB69-23CF-44E3-9099-C40C66FF867C}">
                  <a14:compatExt spid="_x0000_s76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26</xdr:row>
          <xdr:rowOff>152400</xdr:rowOff>
        </xdr:from>
        <xdr:to>
          <xdr:col>3</xdr:col>
          <xdr:colOff>571500</xdr:colOff>
          <xdr:row>26</xdr:row>
          <xdr:rowOff>323850</xdr:rowOff>
        </xdr:to>
        <xdr:sp macro="" textlink="">
          <xdr:nvSpPr>
            <xdr:cNvPr id="76813" name="Check Box 13" hidden="1">
              <a:extLst>
                <a:ext uri="{63B3BB69-23CF-44E3-9099-C40C66FF867C}">
                  <a14:compatExt spid="_x0000_s7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27</xdr:row>
          <xdr:rowOff>0</xdr:rowOff>
        </xdr:from>
        <xdr:to>
          <xdr:col>4</xdr:col>
          <xdr:colOff>571500</xdr:colOff>
          <xdr:row>28</xdr:row>
          <xdr:rowOff>9525</xdr:rowOff>
        </xdr:to>
        <xdr:sp macro="" textlink="">
          <xdr:nvSpPr>
            <xdr:cNvPr id="76814" name="Check Box 14" hidden="1">
              <a:extLst>
                <a:ext uri="{63B3BB69-23CF-44E3-9099-C40C66FF867C}">
                  <a14:compatExt spid="_x0000_s7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9</xdr:row>
          <xdr:rowOff>19050</xdr:rowOff>
        </xdr:from>
        <xdr:to>
          <xdr:col>5</xdr:col>
          <xdr:colOff>1352550</xdr:colOff>
          <xdr:row>9</xdr:row>
          <xdr:rowOff>257175</xdr:rowOff>
        </xdr:to>
        <xdr:grpSp>
          <xdr:nvGrpSpPr>
            <xdr:cNvPr id="85043" name="Gruppieren 1"/>
            <xdr:cNvGrpSpPr>
              <a:grpSpLocks/>
            </xdr:cNvGrpSpPr>
          </xdr:nvGrpSpPr>
          <xdr:grpSpPr bwMode="auto">
            <a:xfrm>
              <a:off x="5286370" y="1524000"/>
              <a:ext cx="1295405" cy="238125"/>
              <a:chOff x="5991243" y="1295399"/>
              <a:chExt cx="1295405" cy="238126"/>
            </a:xfrm>
          </xdr:grpSpPr>
          <xdr:sp macro="" textlink="">
            <xdr:nvSpPr>
              <xdr:cNvPr id="84996" name="Check Box 4" hidden="1">
                <a:extLst>
                  <a:ext uri="{63B3BB69-23CF-44E3-9099-C40C66FF867C}">
                    <a14:compatExt spid="_x0000_s84996"/>
                  </a:ext>
                </a:extLst>
              </xdr:cNvPr>
              <xdr:cNvSpPr/>
            </xdr:nvSpPr>
            <xdr:spPr bwMode="auto">
              <a:xfrm>
                <a:off x="6696099"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nein</a:t>
                </a:r>
              </a:p>
            </xdr:txBody>
          </xdr:sp>
          <xdr:sp macro="" textlink="">
            <xdr:nvSpPr>
              <xdr:cNvPr id="84997" name="Check Box 5" hidden="1">
                <a:extLst>
                  <a:ext uri="{63B3BB69-23CF-44E3-9099-C40C66FF867C}">
                    <a14:compatExt spid="_x0000_s84997"/>
                  </a:ext>
                </a:extLst>
              </xdr:cNvPr>
              <xdr:cNvSpPr/>
            </xdr:nvSpPr>
            <xdr:spPr bwMode="auto">
              <a:xfrm>
                <a:off x="5991243"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ja</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47625</xdr:colOff>
          <xdr:row>10</xdr:row>
          <xdr:rowOff>38100</xdr:rowOff>
        </xdr:from>
        <xdr:to>
          <xdr:col>5</xdr:col>
          <xdr:colOff>1343025</xdr:colOff>
          <xdr:row>10</xdr:row>
          <xdr:rowOff>276225</xdr:rowOff>
        </xdr:to>
        <xdr:grpSp>
          <xdr:nvGrpSpPr>
            <xdr:cNvPr id="85044" name="Gruppieren 5"/>
            <xdr:cNvGrpSpPr>
              <a:grpSpLocks/>
            </xdr:cNvGrpSpPr>
          </xdr:nvGrpSpPr>
          <xdr:grpSpPr bwMode="auto">
            <a:xfrm>
              <a:off x="5276845" y="2819400"/>
              <a:ext cx="1295405" cy="238125"/>
              <a:chOff x="5991243" y="1295399"/>
              <a:chExt cx="1295405" cy="238126"/>
            </a:xfrm>
          </xdr:grpSpPr>
          <xdr:sp macro="" textlink="">
            <xdr:nvSpPr>
              <xdr:cNvPr id="84998" name="Check Box 6" hidden="1">
                <a:extLst>
                  <a:ext uri="{63B3BB69-23CF-44E3-9099-C40C66FF867C}">
                    <a14:compatExt spid="_x0000_s84998"/>
                  </a:ext>
                </a:extLst>
              </xdr:cNvPr>
              <xdr:cNvSpPr/>
            </xdr:nvSpPr>
            <xdr:spPr bwMode="auto">
              <a:xfrm>
                <a:off x="6696099"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nein</a:t>
                </a:r>
              </a:p>
            </xdr:txBody>
          </xdr:sp>
          <xdr:sp macro="" textlink="">
            <xdr:nvSpPr>
              <xdr:cNvPr id="84999" name="Check Box 7" hidden="1">
                <a:extLst>
                  <a:ext uri="{63B3BB69-23CF-44E3-9099-C40C66FF867C}">
                    <a14:compatExt spid="_x0000_s84999"/>
                  </a:ext>
                </a:extLst>
              </xdr:cNvPr>
              <xdr:cNvSpPr/>
            </xdr:nvSpPr>
            <xdr:spPr bwMode="auto">
              <a:xfrm>
                <a:off x="5991243"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ja</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11</xdr:row>
          <xdr:rowOff>38100</xdr:rowOff>
        </xdr:from>
        <xdr:to>
          <xdr:col>5</xdr:col>
          <xdr:colOff>1352550</xdr:colOff>
          <xdr:row>11</xdr:row>
          <xdr:rowOff>276225</xdr:rowOff>
        </xdr:to>
        <xdr:grpSp>
          <xdr:nvGrpSpPr>
            <xdr:cNvPr id="85045" name="Gruppieren 8"/>
            <xdr:cNvGrpSpPr>
              <a:grpSpLocks/>
            </xdr:cNvGrpSpPr>
          </xdr:nvGrpSpPr>
          <xdr:grpSpPr bwMode="auto">
            <a:xfrm>
              <a:off x="5286370" y="3667125"/>
              <a:ext cx="1295405" cy="238125"/>
              <a:chOff x="5991243" y="1295399"/>
              <a:chExt cx="1295405" cy="238126"/>
            </a:xfrm>
          </xdr:grpSpPr>
          <xdr:sp macro="" textlink="">
            <xdr:nvSpPr>
              <xdr:cNvPr id="85000" name="Check Box 8" hidden="1">
                <a:extLst>
                  <a:ext uri="{63B3BB69-23CF-44E3-9099-C40C66FF867C}">
                    <a14:compatExt spid="_x0000_s85000"/>
                  </a:ext>
                </a:extLst>
              </xdr:cNvPr>
              <xdr:cNvSpPr/>
            </xdr:nvSpPr>
            <xdr:spPr bwMode="auto">
              <a:xfrm>
                <a:off x="6696099"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nein</a:t>
                </a:r>
              </a:p>
            </xdr:txBody>
          </xdr:sp>
          <xdr:sp macro="" textlink="">
            <xdr:nvSpPr>
              <xdr:cNvPr id="85001" name="Check Box 9" hidden="1">
                <a:extLst>
                  <a:ext uri="{63B3BB69-23CF-44E3-9099-C40C66FF867C}">
                    <a14:compatExt spid="_x0000_s85001"/>
                  </a:ext>
                </a:extLst>
              </xdr:cNvPr>
              <xdr:cNvSpPr/>
            </xdr:nvSpPr>
            <xdr:spPr bwMode="auto">
              <a:xfrm>
                <a:off x="5991243"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ja</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47625</xdr:colOff>
          <xdr:row>12</xdr:row>
          <xdr:rowOff>38100</xdr:rowOff>
        </xdr:from>
        <xdr:to>
          <xdr:col>5</xdr:col>
          <xdr:colOff>1343025</xdr:colOff>
          <xdr:row>12</xdr:row>
          <xdr:rowOff>276225</xdr:rowOff>
        </xdr:to>
        <xdr:grpSp>
          <xdr:nvGrpSpPr>
            <xdr:cNvPr id="85046" name="Gruppieren 11"/>
            <xdr:cNvGrpSpPr>
              <a:grpSpLocks/>
            </xdr:cNvGrpSpPr>
          </xdr:nvGrpSpPr>
          <xdr:grpSpPr bwMode="auto">
            <a:xfrm>
              <a:off x="5276845" y="4048125"/>
              <a:ext cx="1295405" cy="238125"/>
              <a:chOff x="5991243" y="1295399"/>
              <a:chExt cx="1295405" cy="238126"/>
            </a:xfrm>
          </xdr:grpSpPr>
          <xdr:sp macro="" textlink="">
            <xdr:nvSpPr>
              <xdr:cNvPr id="85002" name="Check Box 10" hidden="1">
                <a:extLst>
                  <a:ext uri="{63B3BB69-23CF-44E3-9099-C40C66FF867C}">
                    <a14:compatExt spid="_x0000_s85002"/>
                  </a:ext>
                </a:extLst>
              </xdr:cNvPr>
              <xdr:cNvSpPr/>
            </xdr:nvSpPr>
            <xdr:spPr bwMode="auto">
              <a:xfrm>
                <a:off x="6696099"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nein</a:t>
                </a:r>
              </a:p>
            </xdr:txBody>
          </xdr:sp>
          <xdr:sp macro="" textlink="">
            <xdr:nvSpPr>
              <xdr:cNvPr id="85003" name="Check Box 11" hidden="1">
                <a:extLst>
                  <a:ext uri="{63B3BB69-23CF-44E3-9099-C40C66FF867C}">
                    <a14:compatExt spid="_x0000_s85003"/>
                  </a:ext>
                </a:extLst>
              </xdr:cNvPr>
              <xdr:cNvSpPr/>
            </xdr:nvSpPr>
            <xdr:spPr bwMode="auto">
              <a:xfrm>
                <a:off x="5991243"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ja</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47625</xdr:colOff>
          <xdr:row>13</xdr:row>
          <xdr:rowOff>38100</xdr:rowOff>
        </xdr:from>
        <xdr:to>
          <xdr:col>5</xdr:col>
          <xdr:colOff>1343025</xdr:colOff>
          <xdr:row>13</xdr:row>
          <xdr:rowOff>276225</xdr:rowOff>
        </xdr:to>
        <xdr:grpSp>
          <xdr:nvGrpSpPr>
            <xdr:cNvPr id="85047" name="Gruppieren 14"/>
            <xdr:cNvGrpSpPr>
              <a:grpSpLocks/>
            </xdr:cNvGrpSpPr>
          </xdr:nvGrpSpPr>
          <xdr:grpSpPr bwMode="auto">
            <a:xfrm>
              <a:off x="5276845" y="4429125"/>
              <a:ext cx="1295405" cy="238125"/>
              <a:chOff x="5991243" y="1295399"/>
              <a:chExt cx="1295405" cy="238126"/>
            </a:xfrm>
          </xdr:grpSpPr>
          <xdr:sp macro="" textlink="">
            <xdr:nvSpPr>
              <xdr:cNvPr id="85004" name="Check Box 12" hidden="1">
                <a:extLst>
                  <a:ext uri="{63B3BB69-23CF-44E3-9099-C40C66FF867C}">
                    <a14:compatExt spid="_x0000_s85004"/>
                  </a:ext>
                </a:extLst>
              </xdr:cNvPr>
              <xdr:cNvSpPr/>
            </xdr:nvSpPr>
            <xdr:spPr bwMode="auto">
              <a:xfrm>
                <a:off x="6696099"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nein</a:t>
                </a:r>
              </a:p>
            </xdr:txBody>
          </xdr:sp>
          <xdr:sp macro="" textlink="">
            <xdr:nvSpPr>
              <xdr:cNvPr id="85005" name="Check Box 13" hidden="1">
                <a:extLst>
                  <a:ext uri="{63B3BB69-23CF-44E3-9099-C40C66FF867C}">
                    <a14:compatExt spid="_x0000_s85005"/>
                  </a:ext>
                </a:extLst>
              </xdr:cNvPr>
              <xdr:cNvSpPr/>
            </xdr:nvSpPr>
            <xdr:spPr bwMode="auto">
              <a:xfrm>
                <a:off x="5991243" y="1295399"/>
                <a:ext cx="59054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ja</a:t>
                </a:r>
              </a:p>
            </xdr:txBody>
          </xdr:sp>
        </xdr:grpSp>
        <xdr:clientData fLocksWithSheet="0"/>
      </xdr:twoCellAnchor>
    </mc:Choice>
    <mc:Fallback/>
  </mc:AlternateContent>
  <xdr:twoCellAnchor>
    <xdr:from>
      <xdr:col>0</xdr:col>
      <xdr:colOff>19050</xdr:colOff>
      <xdr:row>17</xdr:row>
      <xdr:rowOff>1</xdr:rowOff>
    </xdr:from>
    <xdr:to>
      <xdr:col>1</xdr:col>
      <xdr:colOff>866775</xdr:colOff>
      <xdr:row>20</xdr:row>
      <xdr:rowOff>161925</xdr:rowOff>
    </xdr:to>
    <xdr:sp macro="" textlink="">
      <xdr:nvSpPr>
        <xdr:cNvPr id="3" name="Textfeld 2"/>
        <xdr:cNvSpPr txBox="1"/>
      </xdr:nvSpPr>
      <xdr:spPr>
        <a:xfrm>
          <a:off x="19050" y="5257801"/>
          <a:ext cx="1123950"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Ist einer der Punkte</a:t>
          </a:r>
          <a:r>
            <a:rPr lang="de-CH" sz="1000" baseline="0">
              <a:latin typeface="Arial" panose="020B0604020202020204" pitchFamily="34" charset="0"/>
              <a:cs typeface="Arial" panose="020B0604020202020204" pitchFamily="34" charset="0"/>
            </a:rPr>
            <a:t> 1a, 1b oder 1c erfüllt?</a:t>
          </a:r>
          <a:endParaRPr lang="de-CH" sz="1000">
            <a:latin typeface="Arial" panose="020B0604020202020204" pitchFamily="34" charset="0"/>
            <a:cs typeface="Arial" panose="020B0604020202020204" pitchFamily="34" charset="0"/>
          </a:endParaRPr>
        </a:p>
      </xdr:txBody>
    </xdr:sp>
    <xdr:clientData/>
  </xdr:twoCellAnchor>
  <xdr:twoCellAnchor>
    <xdr:from>
      <xdr:col>2</xdr:col>
      <xdr:colOff>47624</xdr:colOff>
      <xdr:row>17</xdr:row>
      <xdr:rowOff>0</xdr:rowOff>
    </xdr:from>
    <xdr:to>
      <xdr:col>3</xdr:col>
      <xdr:colOff>104775</xdr:colOff>
      <xdr:row>20</xdr:row>
      <xdr:rowOff>161924</xdr:rowOff>
    </xdr:to>
    <xdr:sp macro="" textlink="">
      <xdr:nvSpPr>
        <xdr:cNvPr id="19" name="Textfeld 18"/>
        <xdr:cNvSpPr txBox="1"/>
      </xdr:nvSpPr>
      <xdr:spPr>
        <a:xfrm>
          <a:off x="1676399" y="5257800"/>
          <a:ext cx="1257301"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Sind die Punkte 2a </a:t>
          </a:r>
          <a:r>
            <a:rPr lang="de-CH" sz="1000" u="sng">
              <a:latin typeface="Arial" panose="020B0604020202020204" pitchFamily="34" charset="0"/>
              <a:cs typeface="Arial" panose="020B0604020202020204" pitchFamily="34" charset="0"/>
            </a:rPr>
            <a:t>und</a:t>
          </a:r>
          <a:r>
            <a:rPr lang="de-CH" sz="1000">
              <a:latin typeface="Arial" panose="020B0604020202020204" pitchFamily="34" charset="0"/>
              <a:cs typeface="Arial" panose="020B0604020202020204" pitchFamily="34" charset="0"/>
            </a:rPr>
            <a:t> 2b kumulativ erfüllt?</a:t>
          </a:r>
        </a:p>
      </xdr:txBody>
    </xdr:sp>
    <xdr:clientData/>
  </xdr:twoCellAnchor>
  <xdr:twoCellAnchor>
    <xdr:from>
      <xdr:col>3</xdr:col>
      <xdr:colOff>447676</xdr:colOff>
      <xdr:row>17</xdr:row>
      <xdr:rowOff>9525</xdr:rowOff>
    </xdr:from>
    <xdr:to>
      <xdr:col>5</xdr:col>
      <xdr:colOff>0</xdr:colOff>
      <xdr:row>20</xdr:row>
      <xdr:rowOff>171750</xdr:rowOff>
    </xdr:to>
    <xdr:sp macro="" textlink="">
      <xdr:nvSpPr>
        <xdr:cNvPr id="20" name="Textfeld 19"/>
        <xdr:cNvSpPr txBox="1"/>
      </xdr:nvSpPr>
      <xdr:spPr>
        <a:xfrm>
          <a:off x="3276601" y="5267325"/>
          <a:ext cx="1952624" cy="648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aus heutiger</a:t>
          </a:r>
          <a:r>
            <a:rPr lang="de-CH" sz="1000" baseline="0">
              <a:latin typeface="Arial" panose="020B0604020202020204" pitchFamily="34" charset="0"/>
              <a:cs typeface="Arial" panose="020B0604020202020204" pitchFamily="34" charset="0"/>
            </a:rPr>
            <a:t> Sicht geringes Potenzial erwartet &gt; die Fläche ist nicht beitragsberechtigt</a:t>
          </a:r>
          <a:endParaRPr lang="de-CH" sz="10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104775</xdr:colOff>
          <xdr:row>18</xdr:row>
          <xdr:rowOff>57150</xdr:rowOff>
        </xdr:from>
        <xdr:to>
          <xdr:col>5</xdr:col>
          <xdr:colOff>942975</xdr:colOff>
          <xdr:row>19</xdr:row>
          <xdr:rowOff>133350</xdr:rowOff>
        </xdr:to>
        <xdr:sp macro="" textlink="">
          <xdr:nvSpPr>
            <xdr:cNvPr id="85006" name="Check Box 14" hidden="1">
              <a:extLst>
                <a:ext uri="{63B3BB69-23CF-44E3-9099-C40C66FF867C}">
                  <a14:compatExt spid="_x0000_s85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zutreffend</a:t>
              </a:r>
            </a:p>
          </xdr:txBody>
        </xdr:sp>
        <xdr:clientData fLocksWithSheet="0"/>
      </xdr:twoCellAnchor>
    </mc:Choice>
    <mc:Fallback/>
  </mc:AlternateContent>
  <xdr:twoCellAnchor>
    <xdr:from>
      <xdr:col>2</xdr:col>
      <xdr:colOff>57151</xdr:colOff>
      <xdr:row>21</xdr:row>
      <xdr:rowOff>28575</xdr:rowOff>
    </xdr:from>
    <xdr:to>
      <xdr:col>3</xdr:col>
      <xdr:colOff>1114425</xdr:colOff>
      <xdr:row>24</xdr:row>
      <xdr:rowOff>57150</xdr:rowOff>
    </xdr:to>
    <xdr:sp macro="" textlink="">
      <xdr:nvSpPr>
        <xdr:cNvPr id="24" name="Textfeld 23"/>
        <xdr:cNvSpPr txBox="1"/>
      </xdr:nvSpPr>
      <xdr:spPr>
        <a:xfrm>
          <a:off x="1685926" y="6200775"/>
          <a:ext cx="2257424" cy="51435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aus heutiger</a:t>
          </a:r>
          <a:r>
            <a:rPr lang="de-CH" sz="1000" baseline="0">
              <a:latin typeface="Arial" panose="020B0604020202020204" pitchFamily="34" charset="0"/>
              <a:cs typeface="Arial" panose="020B0604020202020204" pitchFamily="34" charset="0"/>
            </a:rPr>
            <a:t> Sicht Potenzial möglich &gt; die Fläche ist  beitragsberechtigt</a:t>
          </a:r>
          <a:endParaRPr lang="de-CH" sz="10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4</xdr:col>
          <xdr:colOff>857250</xdr:colOff>
          <xdr:row>23</xdr:row>
          <xdr:rowOff>85725</xdr:rowOff>
        </xdr:to>
        <xdr:sp macro="" textlink="">
          <xdr:nvSpPr>
            <xdr:cNvPr id="85008" name="Check Box 16" hidden="1">
              <a:extLst>
                <a:ext uri="{63B3BB69-23CF-44E3-9099-C40C66FF867C}">
                  <a14:compatExt spid="_x0000_s85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  zutreffend</a:t>
              </a:r>
            </a:p>
          </xdr:txBody>
        </xdr:sp>
        <xdr:clientData fLocksWithSheet="0"/>
      </xdr:twoCellAnchor>
    </mc:Choice>
    <mc:Fallback/>
  </mc:AlternateContent>
  <xdr:twoCellAnchor>
    <xdr:from>
      <xdr:col>1</xdr:col>
      <xdr:colOff>866775</xdr:colOff>
      <xdr:row>19</xdr:row>
      <xdr:rowOff>0</xdr:rowOff>
    </xdr:from>
    <xdr:to>
      <xdr:col>2</xdr:col>
      <xdr:colOff>47624</xdr:colOff>
      <xdr:row>19</xdr:row>
      <xdr:rowOff>1</xdr:rowOff>
    </xdr:to>
    <xdr:cxnSp macro="">
      <xdr:nvCxnSpPr>
        <xdr:cNvPr id="5" name="Gerade Verbindung mit Pfeil 4"/>
        <xdr:cNvCxnSpPr>
          <a:stCxn id="3" idx="3"/>
          <a:endCxn id="19" idx="1"/>
        </xdr:cNvCxnSpPr>
      </xdr:nvCxnSpPr>
      <xdr:spPr>
        <a:xfrm flipV="1">
          <a:off x="1143000" y="5581650"/>
          <a:ext cx="533399"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104775</xdr:colOff>
      <xdr:row>19</xdr:row>
      <xdr:rowOff>0</xdr:rowOff>
    </xdr:from>
    <xdr:to>
      <xdr:col>3</xdr:col>
      <xdr:colOff>447676</xdr:colOff>
      <xdr:row>19</xdr:row>
      <xdr:rowOff>9675</xdr:rowOff>
    </xdr:to>
    <xdr:cxnSp macro="">
      <xdr:nvCxnSpPr>
        <xdr:cNvPr id="25" name="Gerade Verbindung mit Pfeil 24"/>
        <xdr:cNvCxnSpPr>
          <a:stCxn id="19" idx="3"/>
          <a:endCxn id="20" idx="1"/>
        </xdr:cNvCxnSpPr>
      </xdr:nvCxnSpPr>
      <xdr:spPr>
        <a:xfrm>
          <a:off x="2933700" y="5581650"/>
          <a:ext cx="342901" cy="9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676275</xdr:colOff>
      <xdr:row>20</xdr:row>
      <xdr:rowOff>161924</xdr:rowOff>
    </xdr:from>
    <xdr:to>
      <xdr:col>2</xdr:col>
      <xdr:colOff>676275</xdr:colOff>
      <xdr:row>21</xdr:row>
      <xdr:rowOff>38100</xdr:rowOff>
    </xdr:to>
    <xdr:cxnSp macro="">
      <xdr:nvCxnSpPr>
        <xdr:cNvPr id="28" name="Gerade Verbindung mit Pfeil 27"/>
        <xdr:cNvCxnSpPr>
          <a:stCxn id="19" idx="2"/>
        </xdr:cNvCxnSpPr>
      </xdr:nvCxnSpPr>
      <xdr:spPr>
        <a:xfrm>
          <a:off x="2305050" y="5905499"/>
          <a:ext cx="0" cy="3048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1185861</xdr:colOff>
      <xdr:row>19</xdr:row>
      <xdr:rowOff>0</xdr:rowOff>
    </xdr:from>
    <xdr:to>
      <xdr:col>2</xdr:col>
      <xdr:colOff>57150</xdr:colOff>
      <xdr:row>22</xdr:row>
      <xdr:rowOff>123825</xdr:rowOff>
    </xdr:to>
    <xdr:cxnSp macro="">
      <xdr:nvCxnSpPr>
        <xdr:cNvPr id="16" name="Gewinkelter Verbinder 15"/>
        <xdr:cNvCxnSpPr>
          <a:stCxn id="41" idx="2"/>
          <a:endCxn id="24" idx="1"/>
        </xdr:cNvCxnSpPr>
      </xdr:nvCxnSpPr>
      <xdr:spPr>
        <a:xfrm rot="16200000" flipH="1">
          <a:off x="1135856" y="5907880"/>
          <a:ext cx="876300" cy="22383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962025</xdr:colOff>
      <xdr:row>20</xdr:row>
      <xdr:rowOff>161926</xdr:rowOff>
    </xdr:from>
    <xdr:to>
      <xdr:col>1</xdr:col>
      <xdr:colOff>1304925</xdr:colOff>
      <xdr:row>21</xdr:row>
      <xdr:rowOff>0</xdr:rowOff>
    </xdr:to>
    <xdr:sp macro="" textlink="">
      <xdr:nvSpPr>
        <xdr:cNvPr id="39" name="Textfeld 38"/>
        <xdr:cNvSpPr txBox="1"/>
      </xdr:nvSpPr>
      <xdr:spPr>
        <a:xfrm>
          <a:off x="1238250" y="5905501"/>
          <a:ext cx="342900"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solidFill>
                <a:srgbClr val="00B050"/>
              </a:solidFill>
              <a:latin typeface="Arial" panose="020B0604020202020204" pitchFamily="34" charset="0"/>
              <a:cs typeface="Arial" panose="020B0604020202020204" pitchFamily="34" charset="0"/>
            </a:rPr>
            <a:t>ja</a:t>
          </a:r>
        </a:p>
      </xdr:txBody>
    </xdr:sp>
    <xdr:clientData/>
  </xdr:twoCellAnchor>
  <xdr:twoCellAnchor>
    <xdr:from>
      <xdr:col>2</xdr:col>
      <xdr:colOff>457200</xdr:colOff>
      <xdr:row>20</xdr:row>
      <xdr:rowOff>161926</xdr:rowOff>
    </xdr:from>
    <xdr:to>
      <xdr:col>2</xdr:col>
      <xdr:colOff>1047750</xdr:colOff>
      <xdr:row>21</xdr:row>
      <xdr:rowOff>0</xdr:rowOff>
    </xdr:to>
    <xdr:sp macro="" textlink="">
      <xdr:nvSpPr>
        <xdr:cNvPr id="40" name="Textfeld 39"/>
        <xdr:cNvSpPr txBox="1"/>
      </xdr:nvSpPr>
      <xdr:spPr>
        <a:xfrm>
          <a:off x="2085975" y="5905501"/>
          <a:ext cx="590550"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solidFill>
                <a:srgbClr val="00B050"/>
              </a:solidFill>
              <a:latin typeface="Arial" panose="020B0604020202020204" pitchFamily="34" charset="0"/>
              <a:cs typeface="Arial" panose="020B0604020202020204" pitchFamily="34" charset="0"/>
            </a:rPr>
            <a:t>ja</a:t>
          </a:r>
        </a:p>
      </xdr:txBody>
    </xdr:sp>
    <xdr:clientData/>
  </xdr:twoCellAnchor>
  <xdr:twoCellAnchor>
    <xdr:from>
      <xdr:col>1</xdr:col>
      <xdr:colOff>971549</xdr:colOff>
      <xdr:row>17</xdr:row>
      <xdr:rowOff>57151</xdr:rowOff>
    </xdr:from>
    <xdr:to>
      <xdr:col>2</xdr:col>
      <xdr:colOff>47624</xdr:colOff>
      <xdr:row>19</xdr:row>
      <xdr:rowOff>0</xdr:rowOff>
    </xdr:to>
    <xdr:sp macro="" textlink="">
      <xdr:nvSpPr>
        <xdr:cNvPr id="41" name="Textfeld 40"/>
        <xdr:cNvSpPr txBox="1"/>
      </xdr:nvSpPr>
      <xdr:spPr>
        <a:xfrm>
          <a:off x="1247774" y="5314951"/>
          <a:ext cx="42862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solidFill>
                <a:srgbClr val="FF0000"/>
              </a:solidFill>
              <a:latin typeface="Arial" panose="020B0604020202020204" pitchFamily="34" charset="0"/>
              <a:cs typeface="Arial" panose="020B0604020202020204" pitchFamily="34" charset="0"/>
            </a:rPr>
            <a:t>nein</a:t>
          </a:r>
        </a:p>
      </xdr:txBody>
    </xdr:sp>
    <xdr:clientData/>
  </xdr:twoCellAnchor>
  <xdr:twoCellAnchor>
    <xdr:from>
      <xdr:col>3</xdr:col>
      <xdr:colOff>76201</xdr:colOff>
      <xdr:row>17</xdr:row>
      <xdr:rowOff>57151</xdr:rowOff>
    </xdr:from>
    <xdr:to>
      <xdr:col>3</xdr:col>
      <xdr:colOff>514350</xdr:colOff>
      <xdr:row>19</xdr:row>
      <xdr:rowOff>0</xdr:rowOff>
    </xdr:to>
    <xdr:sp macro="" textlink="">
      <xdr:nvSpPr>
        <xdr:cNvPr id="42" name="Textfeld 41"/>
        <xdr:cNvSpPr txBox="1"/>
      </xdr:nvSpPr>
      <xdr:spPr>
        <a:xfrm>
          <a:off x="2905126" y="5314951"/>
          <a:ext cx="438149"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solidFill>
                <a:srgbClr val="FF0000"/>
              </a:solidFill>
              <a:latin typeface="Arial" panose="020B0604020202020204" pitchFamily="34" charset="0"/>
              <a:cs typeface="Arial" panose="020B0604020202020204" pitchFamily="34" charset="0"/>
            </a:rPr>
            <a:t>nein</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18</xdr:row>
          <xdr:rowOff>152400</xdr:rowOff>
        </xdr:from>
        <xdr:to>
          <xdr:col>1</xdr:col>
          <xdr:colOff>276225</xdr:colOff>
          <xdr:row>20</xdr:row>
          <xdr:rowOff>0</xdr:rowOff>
        </xdr:to>
        <xdr:sp macro="" textlink="">
          <xdr:nvSpPr>
            <xdr:cNvPr id="83969" name="Check Box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152400</xdr:rowOff>
        </xdr:from>
        <xdr:to>
          <xdr:col>2</xdr:col>
          <xdr:colOff>276225</xdr:colOff>
          <xdr:row>20</xdr:row>
          <xdr:rowOff>0</xdr:rowOff>
        </xdr:to>
        <xdr:sp macro="" textlink="">
          <xdr:nvSpPr>
            <xdr:cNvPr id="83970" name="Check Box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152400</xdr:rowOff>
        </xdr:from>
        <xdr:to>
          <xdr:col>3</xdr:col>
          <xdr:colOff>276225</xdr:colOff>
          <xdr:row>20</xdr:row>
          <xdr:rowOff>0</xdr:rowOff>
        </xdr:to>
        <xdr:sp macro="" textlink="">
          <xdr:nvSpPr>
            <xdr:cNvPr id="83971" name="Check Box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152400</xdr:rowOff>
        </xdr:from>
        <xdr:to>
          <xdr:col>4</xdr:col>
          <xdr:colOff>276225</xdr:colOff>
          <xdr:row>20</xdr:row>
          <xdr:rowOff>0</xdr:rowOff>
        </xdr:to>
        <xdr:sp macro="" textlink="">
          <xdr:nvSpPr>
            <xdr:cNvPr id="83972" name="Check Box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152400</xdr:rowOff>
        </xdr:from>
        <xdr:to>
          <xdr:col>0</xdr:col>
          <xdr:colOff>276225</xdr:colOff>
          <xdr:row>20</xdr:row>
          <xdr:rowOff>0</xdr:rowOff>
        </xdr:to>
        <xdr:sp macro="" textlink="">
          <xdr:nvSpPr>
            <xdr:cNvPr id="83976" name="Check Box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428625</xdr:colOff>
          <xdr:row>14</xdr:row>
          <xdr:rowOff>9525</xdr:rowOff>
        </xdr:from>
        <xdr:to>
          <xdr:col>7</xdr:col>
          <xdr:colOff>371475</xdr:colOff>
          <xdr:row>15</xdr:row>
          <xdr:rowOff>0</xdr:rowOff>
        </xdr:to>
        <xdr:sp macro="" textlink="">
          <xdr:nvSpPr>
            <xdr:cNvPr id="20489" name="Drop Down 9" hidden="1">
              <a:extLst>
                <a:ext uri="{63B3BB69-23CF-44E3-9099-C40C66FF867C}">
                  <a14:compatExt spid="_x0000_s20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9525</xdr:rowOff>
        </xdr:from>
        <xdr:to>
          <xdr:col>5</xdr:col>
          <xdr:colOff>314325</xdr:colOff>
          <xdr:row>16</xdr:row>
          <xdr:rowOff>180975</xdr:rowOff>
        </xdr:to>
        <xdr:sp macro="" textlink="">
          <xdr:nvSpPr>
            <xdr:cNvPr id="20494" name="Drop Down 14" hidden="1">
              <a:extLst>
                <a:ext uri="{63B3BB69-23CF-44E3-9099-C40C66FF867C}">
                  <a14:compatExt spid="_x0000_s204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8</xdr:col>
          <xdr:colOff>295275</xdr:colOff>
          <xdr:row>16</xdr:row>
          <xdr:rowOff>180975</xdr:rowOff>
        </xdr:to>
        <xdr:sp macro="" textlink="">
          <xdr:nvSpPr>
            <xdr:cNvPr id="20495" name="Drop Down 15" hidden="1">
              <a:extLst>
                <a:ext uri="{63B3BB69-23CF-44E3-9099-C40C66FF867C}">
                  <a14:compatExt spid="_x0000_s204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11</xdr:col>
          <xdr:colOff>276225</xdr:colOff>
          <xdr:row>16</xdr:row>
          <xdr:rowOff>180975</xdr:rowOff>
        </xdr:to>
        <xdr:sp macro="" textlink="">
          <xdr:nvSpPr>
            <xdr:cNvPr id="20496" name="Drop Down 16" hidden="1">
              <a:extLst>
                <a:ext uri="{63B3BB69-23CF-44E3-9099-C40C66FF867C}">
                  <a14:compatExt spid="_x0000_s204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9525</xdr:rowOff>
        </xdr:from>
        <xdr:to>
          <xdr:col>14</xdr:col>
          <xdr:colOff>314325</xdr:colOff>
          <xdr:row>16</xdr:row>
          <xdr:rowOff>180975</xdr:rowOff>
        </xdr:to>
        <xdr:sp macro="" textlink="">
          <xdr:nvSpPr>
            <xdr:cNvPr id="20497" name="Drop Down 17" hidden="1">
              <a:extLst>
                <a:ext uri="{63B3BB69-23CF-44E3-9099-C40C66FF867C}">
                  <a14:compatExt spid="_x0000_s204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47625</xdr:rowOff>
        </xdr:from>
        <xdr:to>
          <xdr:col>5</xdr:col>
          <xdr:colOff>390525</xdr:colOff>
          <xdr:row>18</xdr:row>
          <xdr:rowOff>180975</xdr:rowOff>
        </xdr:to>
        <xdr:sp macro="" textlink="">
          <xdr:nvSpPr>
            <xdr:cNvPr id="20498" name="Drop Down 18" hidden="1">
              <a:extLst>
                <a:ext uri="{63B3BB69-23CF-44E3-9099-C40C66FF867C}">
                  <a14:compatExt spid="_x0000_s204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47625</xdr:rowOff>
        </xdr:from>
        <xdr:to>
          <xdr:col>8</xdr:col>
          <xdr:colOff>390525</xdr:colOff>
          <xdr:row>18</xdr:row>
          <xdr:rowOff>180975</xdr:rowOff>
        </xdr:to>
        <xdr:sp macro="" textlink="">
          <xdr:nvSpPr>
            <xdr:cNvPr id="20499" name="Drop Down 19" hidden="1">
              <a:extLst>
                <a:ext uri="{63B3BB69-23CF-44E3-9099-C40C66FF867C}">
                  <a14:compatExt spid="_x0000_s204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47625</xdr:rowOff>
        </xdr:from>
        <xdr:to>
          <xdr:col>11</xdr:col>
          <xdr:colOff>390525</xdr:colOff>
          <xdr:row>18</xdr:row>
          <xdr:rowOff>180975</xdr:rowOff>
        </xdr:to>
        <xdr:sp macro="" textlink="">
          <xdr:nvSpPr>
            <xdr:cNvPr id="20500" name="Drop Down 20" hidden="1">
              <a:extLst>
                <a:ext uri="{63B3BB69-23CF-44E3-9099-C40C66FF867C}">
                  <a14:compatExt spid="_x0000_s2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38100</xdr:rowOff>
        </xdr:from>
        <xdr:to>
          <xdr:col>14</xdr:col>
          <xdr:colOff>381000</xdr:colOff>
          <xdr:row>18</xdr:row>
          <xdr:rowOff>171450</xdr:rowOff>
        </xdr:to>
        <xdr:sp macro="" textlink="">
          <xdr:nvSpPr>
            <xdr:cNvPr id="20501" name="Drop Down 21" hidden="1">
              <a:extLst>
                <a:ext uri="{63B3BB69-23CF-44E3-9099-C40C66FF867C}">
                  <a14:compatExt spid="_x0000_s205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19439</xdr:colOff>
      <xdr:row>13</xdr:row>
      <xdr:rowOff>29156</xdr:rowOff>
    </xdr:from>
    <xdr:to>
      <xdr:col>27</xdr:col>
      <xdr:colOff>456811</xdr:colOff>
      <xdr:row>14</xdr:row>
      <xdr:rowOff>194387</xdr:rowOff>
    </xdr:to>
    <xdr:sp macro="" textlink="">
      <xdr:nvSpPr>
        <xdr:cNvPr id="11" name="Textfeld 10"/>
        <xdr:cNvSpPr txBox="1"/>
      </xdr:nvSpPr>
      <xdr:spPr>
        <a:xfrm>
          <a:off x="3936352" y="2225738"/>
          <a:ext cx="8553061" cy="24298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a:t>
          </a:r>
          <a:r>
            <a:rPr kumimoji="0" lang="de-CH"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a:t>
          </a:r>
          <a:r>
            <a:rPr kumimoji="0" lang="de-CH"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Pflichtfelder</a:t>
          </a:r>
          <a:r>
            <a:rPr kumimoji="0" lang="de-CH"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müssen ausgefüllt werden, da bei der Fallberechnung die Daten übernommen werden.       </a:t>
          </a:r>
          <a:r>
            <a:rPr lang="de-CH" sz="1000"/>
            <a:t> </a:t>
          </a:r>
          <a:r>
            <a:rPr kumimoji="0" lang="de-CH"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Felder zum Ausfüllen</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19050</xdr:colOff>
          <xdr:row>17</xdr:row>
          <xdr:rowOff>47625</xdr:rowOff>
        </xdr:from>
        <xdr:to>
          <xdr:col>5</xdr:col>
          <xdr:colOff>390525</xdr:colOff>
          <xdr:row>17</xdr:row>
          <xdr:rowOff>180975</xdr:rowOff>
        </xdr:to>
        <xdr:sp macro="" textlink="">
          <xdr:nvSpPr>
            <xdr:cNvPr id="20504" name="Drop Down 24" hidden="1">
              <a:extLst>
                <a:ext uri="{63B3BB69-23CF-44E3-9099-C40C66FF867C}">
                  <a14:compatExt spid="_x0000_s205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47625</xdr:rowOff>
        </xdr:from>
        <xdr:to>
          <xdr:col>8</xdr:col>
          <xdr:colOff>390525</xdr:colOff>
          <xdr:row>17</xdr:row>
          <xdr:rowOff>180975</xdr:rowOff>
        </xdr:to>
        <xdr:sp macro="" textlink="">
          <xdr:nvSpPr>
            <xdr:cNvPr id="20505" name="Drop Down 25" hidden="1">
              <a:extLst>
                <a:ext uri="{63B3BB69-23CF-44E3-9099-C40C66FF867C}">
                  <a14:compatExt spid="_x0000_s20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47625</xdr:rowOff>
        </xdr:from>
        <xdr:to>
          <xdr:col>11</xdr:col>
          <xdr:colOff>390525</xdr:colOff>
          <xdr:row>17</xdr:row>
          <xdr:rowOff>180975</xdr:rowOff>
        </xdr:to>
        <xdr:sp macro="" textlink="">
          <xdr:nvSpPr>
            <xdr:cNvPr id="20506" name="Drop Down 26" hidden="1">
              <a:extLst>
                <a:ext uri="{63B3BB69-23CF-44E3-9099-C40C66FF867C}">
                  <a14:compatExt spid="_x0000_s20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38100</xdr:rowOff>
        </xdr:from>
        <xdr:to>
          <xdr:col>14</xdr:col>
          <xdr:colOff>381000</xdr:colOff>
          <xdr:row>17</xdr:row>
          <xdr:rowOff>171450</xdr:rowOff>
        </xdr:to>
        <xdr:sp macro="" textlink="">
          <xdr:nvSpPr>
            <xdr:cNvPr id="20507" name="Drop Down 27" hidden="1">
              <a:extLst>
                <a:ext uri="{63B3BB69-23CF-44E3-9099-C40C66FF867C}">
                  <a14:compatExt spid="_x0000_s20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xdr:row>
          <xdr:rowOff>9525</xdr:rowOff>
        </xdr:from>
        <xdr:to>
          <xdr:col>17</xdr:col>
          <xdr:colOff>314325</xdr:colOff>
          <xdr:row>16</xdr:row>
          <xdr:rowOff>180975</xdr:rowOff>
        </xdr:to>
        <xdr:sp macro="" textlink="">
          <xdr:nvSpPr>
            <xdr:cNvPr id="20510" name="Drop Down 30" hidden="1">
              <a:extLst>
                <a:ext uri="{63B3BB69-23CF-44E3-9099-C40C66FF867C}">
                  <a14:compatExt spid="_x0000_s20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38100</xdr:rowOff>
        </xdr:from>
        <xdr:to>
          <xdr:col>17</xdr:col>
          <xdr:colOff>381000</xdr:colOff>
          <xdr:row>18</xdr:row>
          <xdr:rowOff>171450</xdr:rowOff>
        </xdr:to>
        <xdr:sp macro="" textlink="">
          <xdr:nvSpPr>
            <xdr:cNvPr id="20511" name="Drop Down 31" hidden="1">
              <a:extLst>
                <a:ext uri="{63B3BB69-23CF-44E3-9099-C40C66FF867C}">
                  <a14:compatExt spid="_x0000_s20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38100</xdr:rowOff>
        </xdr:from>
        <xdr:to>
          <xdr:col>17</xdr:col>
          <xdr:colOff>381000</xdr:colOff>
          <xdr:row>17</xdr:row>
          <xdr:rowOff>171450</xdr:rowOff>
        </xdr:to>
        <xdr:sp macro="" textlink="">
          <xdr:nvSpPr>
            <xdr:cNvPr id="20512" name="Drop Down 32" hidden="1">
              <a:extLst>
                <a:ext uri="{63B3BB69-23CF-44E3-9099-C40C66FF867C}">
                  <a14:compatExt spid="_x0000_s20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9525</xdr:rowOff>
        </xdr:from>
        <xdr:to>
          <xdr:col>20</xdr:col>
          <xdr:colOff>314325</xdr:colOff>
          <xdr:row>16</xdr:row>
          <xdr:rowOff>180975</xdr:rowOff>
        </xdr:to>
        <xdr:sp macro="" textlink="">
          <xdr:nvSpPr>
            <xdr:cNvPr id="20513" name="Drop Down 33" hidden="1">
              <a:extLst>
                <a:ext uri="{63B3BB69-23CF-44E3-9099-C40C66FF867C}">
                  <a14:compatExt spid="_x0000_s20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38100</xdr:rowOff>
        </xdr:from>
        <xdr:to>
          <xdr:col>20</xdr:col>
          <xdr:colOff>381000</xdr:colOff>
          <xdr:row>18</xdr:row>
          <xdr:rowOff>171450</xdr:rowOff>
        </xdr:to>
        <xdr:sp macro="" textlink="">
          <xdr:nvSpPr>
            <xdr:cNvPr id="20514" name="Drop Down 34" hidden="1">
              <a:extLst>
                <a:ext uri="{63B3BB69-23CF-44E3-9099-C40C66FF867C}">
                  <a14:compatExt spid="_x0000_s20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38100</xdr:rowOff>
        </xdr:from>
        <xdr:to>
          <xdr:col>20</xdr:col>
          <xdr:colOff>381000</xdr:colOff>
          <xdr:row>17</xdr:row>
          <xdr:rowOff>171450</xdr:rowOff>
        </xdr:to>
        <xdr:sp macro="" textlink="">
          <xdr:nvSpPr>
            <xdr:cNvPr id="20515" name="Drop Down 35" hidden="1">
              <a:extLst>
                <a:ext uri="{63B3BB69-23CF-44E3-9099-C40C66FF867C}">
                  <a14:compatExt spid="_x0000_s20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9525</xdr:rowOff>
        </xdr:from>
        <xdr:to>
          <xdr:col>23</xdr:col>
          <xdr:colOff>314325</xdr:colOff>
          <xdr:row>16</xdr:row>
          <xdr:rowOff>180975</xdr:rowOff>
        </xdr:to>
        <xdr:sp macro="" textlink="">
          <xdr:nvSpPr>
            <xdr:cNvPr id="20516" name="Drop Down 36" hidden="1">
              <a:extLst>
                <a:ext uri="{63B3BB69-23CF-44E3-9099-C40C66FF867C}">
                  <a14:compatExt spid="_x0000_s20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38100</xdr:rowOff>
        </xdr:from>
        <xdr:to>
          <xdr:col>23</xdr:col>
          <xdr:colOff>381000</xdr:colOff>
          <xdr:row>18</xdr:row>
          <xdr:rowOff>171450</xdr:rowOff>
        </xdr:to>
        <xdr:sp macro="" textlink="">
          <xdr:nvSpPr>
            <xdr:cNvPr id="20517" name="Drop Down 37" hidden="1">
              <a:extLst>
                <a:ext uri="{63B3BB69-23CF-44E3-9099-C40C66FF867C}">
                  <a14:compatExt spid="_x0000_s20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17</xdr:row>
          <xdr:rowOff>38100</xdr:rowOff>
        </xdr:from>
        <xdr:to>
          <xdr:col>23</xdr:col>
          <xdr:colOff>381000</xdr:colOff>
          <xdr:row>17</xdr:row>
          <xdr:rowOff>171450</xdr:rowOff>
        </xdr:to>
        <xdr:sp macro="" textlink="">
          <xdr:nvSpPr>
            <xdr:cNvPr id="20518" name="Drop Down 38" hidden="1">
              <a:extLst>
                <a:ext uri="{63B3BB69-23CF-44E3-9099-C40C66FF867C}">
                  <a14:compatExt spid="_x0000_s20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9525</xdr:rowOff>
        </xdr:from>
        <xdr:to>
          <xdr:col>26</xdr:col>
          <xdr:colOff>314325</xdr:colOff>
          <xdr:row>16</xdr:row>
          <xdr:rowOff>180975</xdr:rowOff>
        </xdr:to>
        <xdr:sp macro="" textlink="">
          <xdr:nvSpPr>
            <xdr:cNvPr id="20519" name="Drop Down 39" hidden="1">
              <a:extLst>
                <a:ext uri="{63B3BB69-23CF-44E3-9099-C40C66FF867C}">
                  <a14:compatExt spid="_x0000_s20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xdr:row>
          <xdr:rowOff>38100</xdr:rowOff>
        </xdr:from>
        <xdr:to>
          <xdr:col>26</xdr:col>
          <xdr:colOff>381000</xdr:colOff>
          <xdr:row>18</xdr:row>
          <xdr:rowOff>171450</xdr:rowOff>
        </xdr:to>
        <xdr:sp macro="" textlink="">
          <xdr:nvSpPr>
            <xdr:cNvPr id="20520" name="Drop Down 40" hidden="1">
              <a:extLst>
                <a:ext uri="{63B3BB69-23CF-44E3-9099-C40C66FF867C}">
                  <a14:compatExt spid="_x0000_s20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xdr:row>
          <xdr:rowOff>38100</xdr:rowOff>
        </xdr:from>
        <xdr:to>
          <xdr:col>26</xdr:col>
          <xdr:colOff>381000</xdr:colOff>
          <xdr:row>17</xdr:row>
          <xdr:rowOff>171450</xdr:rowOff>
        </xdr:to>
        <xdr:sp macro="" textlink="">
          <xdr:nvSpPr>
            <xdr:cNvPr id="20521" name="Drop Down 41" hidden="1">
              <a:extLst>
                <a:ext uri="{63B3BB69-23CF-44E3-9099-C40C66FF867C}">
                  <a14:compatExt spid="_x0000_s20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369338</xdr:colOff>
      <xdr:row>14</xdr:row>
      <xdr:rowOff>19440</xdr:rowOff>
    </xdr:from>
    <xdr:to>
      <xdr:col>22</xdr:col>
      <xdr:colOff>242791</xdr:colOff>
      <xdr:row>14</xdr:row>
      <xdr:rowOff>126351</xdr:rowOff>
    </xdr:to>
    <xdr:sp macro="" textlink="">
      <xdr:nvSpPr>
        <xdr:cNvPr id="30" name="Rechteck 29"/>
        <xdr:cNvSpPr/>
      </xdr:nvSpPr>
      <xdr:spPr>
        <a:xfrm>
          <a:off x="10176200" y="2216022"/>
          <a:ext cx="310826" cy="106911"/>
        </a:xfrm>
        <a:prstGeom prst="rect">
          <a:avLst/>
        </a:prstGeom>
        <a:solidFill>
          <a:schemeClr val="accent5">
            <a:lumMod val="20000"/>
            <a:lumOff val="80000"/>
          </a:schemeClr>
        </a:solidFill>
        <a:ln>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4</xdr:col>
          <xdr:colOff>371475</xdr:colOff>
          <xdr:row>6</xdr:row>
          <xdr:rowOff>209550</xdr:rowOff>
        </xdr:to>
        <xdr:sp macro="" textlink="">
          <xdr:nvSpPr>
            <xdr:cNvPr id="111618" name="Drop Down 2" hidden="1">
              <a:extLst>
                <a:ext uri="{63B3BB69-23CF-44E3-9099-C40C66FF867C}">
                  <a14:compatExt spid="_x0000_s1116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8</xdr:row>
          <xdr:rowOff>152400</xdr:rowOff>
        </xdr:from>
        <xdr:to>
          <xdr:col>4</xdr:col>
          <xdr:colOff>723900</xdr:colOff>
          <xdr:row>10</xdr:row>
          <xdr:rowOff>9525</xdr:rowOff>
        </xdr:to>
        <xdr:sp macro="" textlink="">
          <xdr:nvSpPr>
            <xdr:cNvPr id="111619" name="Check Box 3" hidden="1">
              <a:extLst>
                <a:ext uri="{63B3BB69-23CF-44E3-9099-C40C66FF867C}">
                  <a14:compatExt spid="_x0000_s11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762000</xdr:colOff>
          <xdr:row>11</xdr:row>
          <xdr:rowOff>0</xdr:rowOff>
        </xdr:to>
        <xdr:sp macro="" textlink="">
          <xdr:nvSpPr>
            <xdr:cNvPr id="111620" name="Drop Down 4" hidden="1">
              <a:extLst>
                <a:ext uri="{63B3BB69-23CF-44E3-9099-C40C66FF867C}">
                  <a14:compatExt spid="_x0000_s1116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xdr:row>
          <xdr:rowOff>114300</xdr:rowOff>
        </xdr:from>
        <xdr:to>
          <xdr:col>4</xdr:col>
          <xdr:colOff>714375</xdr:colOff>
          <xdr:row>12</xdr:row>
          <xdr:rowOff>333375</xdr:rowOff>
        </xdr:to>
        <xdr:sp macro="" textlink="">
          <xdr:nvSpPr>
            <xdr:cNvPr id="111621" name="Check Box 5" hidden="1">
              <a:extLst>
                <a:ext uri="{63B3BB69-23CF-44E3-9099-C40C66FF867C}">
                  <a14:compatExt spid="_x0000_s11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xdr:row>
          <xdr:rowOff>619125</xdr:rowOff>
        </xdr:from>
        <xdr:to>
          <xdr:col>4</xdr:col>
          <xdr:colOff>714375</xdr:colOff>
          <xdr:row>13</xdr:row>
          <xdr:rowOff>190500</xdr:rowOff>
        </xdr:to>
        <xdr:sp macro="" textlink="">
          <xdr:nvSpPr>
            <xdr:cNvPr id="111622" name="Check Box 6" hidden="1">
              <a:extLst>
                <a:ext uri="{63B3BB69-23CF-44E3-9099-C40C66FF867C}">
                  <a14:compatExt spid="_x0000_s11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762000</xdr:colOff>
          <xdr:row>16</xdr:row>
          <xdr:rowOff>0</xdr:rowOff>
        </xdr:to>
        <xdr:sp macro="" textlink="">
          <xdr:nvSpPr>
            <xdr:cNvPr id="111623" name="Drop Down 7" hidden="1">
              <a:extLst>
                <a:ext uri="{63B3BB69-23CF-44E3-9099-C40C66FF867C}">
                  <a14:compatExt spid="_x0000_s1116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66675</xdr:rowOff>
        </xdr:from>
        <xdr:to>
          <xdr:col>4</xdr:col>
          <xdr:colOff>771525</xdr:colOff>
          <xdr:row>24</xdr:row>
          <xdr:rowOff>276225</xdr:rowOff>
        </xdr:to>
        <xdr:sp macro="" textlink="">
          <xdr:nvSpPr>
            <xdr:cNvPr id="111624" name="Drop Down 8" hidden="1">
              <a:extLst>
                <a:ext uri="{63B3BB69-23CF-44E3-9099-C40C66FF867C}">
                  <a14:compatExt spid="_x0000_s1116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66675</xdr:rowOff>
        </xdr:from>
        <xdr:to>
          <xdr:col>4</xdr:col>
          <xdr:colOff>771525</xdr:colOff>
          <xdr:row>25</xdr:row>
          <xdr:rowOff>257175</xdr:rowOff>
        </xdr:to>
        <xdr:sp macro="" textlink="">
          <xdr:nvSpPr>
            <xdr:cNvPr id="111625" name="Drop Down 9" hidden="1">
              <a:extLst>
                <a:ext uri="{63B3BB69-23CF-44E3-9099-C40C66FF867C}">
                  <a14:compatExt spid="_x0000_s111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38100</xdr:rowOff>
        </xdr:from>
        <xdr:to>
          <xdr:col>4</xdr:col>
          <xdr:colOff>752475</xdr:colOff>
          <xdr:row>18</xdr:row>
          <xdr:rowOff>19050</xdr:rowOff>
        </xdr:to>
        <xdr:sp macro="" textlink="">
          <xdr:nvSpPr>
            <xdr:cNvPr id="111626" name="Check Box 10" hidden="1">
              <a:extLst>
                <a:ext uri="{63B3BB69-23CF-44E3-9099-C40C66FF867C}">
                  <a14:compatExt spid="_x0000_s11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Vollernter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25</xdr:row>
          <xdr:rowOff>295275</xdr:rowOff>
        </xdr:from>
        <xdr:to>
          <xdr:col>4</xdr:col>
          <xdr:colOff>723900</xdr:colOff>
          <xdr:row>27</xdr:row>
          <xdr:rowOff>0</xdr:rowOff>
        </xdr:to>
        <xdr:sp macro="" textlink="">
          <xdr:nvSpPr>
            <xdr:cNvPr id="111627" name="Check Box 11" hidden="1">
              <a:extLst>
                <a:ext uri="{63B3BB69-23CF-44E3-9099-C40C66FF867C}">
                  <a14:compatExt spid="_x0000_s11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771525</xdr:colOff>
          <xdr:row>30</xdr:row>
          <xdr:rowOff>0</xdr:rowOff>
        </xdr:to>
        <xdr:sp macro="" textlink="">
          <xdr:nvSpPr>
            <xdr:cNvPr id="111628" name="Drop Down 12" hidden="1">
              <a:extLst>
                <a:ext uri="{63B3BB69-23CF-44E3-9099-C40C66FF867C}">
                  <a14:compatExt spid="_x0000_s111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190500</xdr:rowOff>
        </xdr:from>
        <xdr:to>
          <xdr:col>4</xdr:col>
          <xdr:colOff>723900</xdr:colOff>
          <xdr:row>28</xdr:row>
          <xdr:rowOff>9525</xdr:rowOff>
        </xdr:to>
        <xdr:sp macro="" textlink="">
          <xdr:nvSpPr>
            <xdr:cNvPr id="111629" name="Check Box 13" hidden="1">
              <a:extLst>
                <a:ext uri="{63B3BB69-23CF-44E3-9099-C40C66FF867C}">
                  <a14:compatExt spid="_x0000_s11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47625</xdr:rowOff>
        </xdr:from>
        <xdr:to>
          <xdr:col>4</xdr:col>
          <xdr:colOff>1000125</xdr:colOff>
          <xdr:row>35</xdr:row>
          <xdr:rowOff>285750</xdr:rowOff>
        </xdr:to>
        <xdr:sp macro="" textlink="">
          <xdr:nvSpPr>
            <xdr:cNvPr id="111630" name="Drop Down 14" hidden="1">
              <a:extLst>
                <a:ext uri="{63B3BB69-23CF-44E3-9099-C40C66FF867C}">
                  <a14:compatExt spid="_x0000_s111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771525</xdr:colOff>
          <xdr:row>35</xdr:row>
          <xdr:rowOff>0</xdr:rowOff>
        </xdr:to>
        <xdr:sp macro="" textlink="">
          <xdr:nvSpPr>
            <xdr:cNvPr id="111631" name="Drop Down 15" hidden="1">
              <a:extLst>
                <a:ext uri="{63B3BB69-23CF-44E3-9099-C40C66FF867C}">
                  <a14:compatExt spid="_x0000_s111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1000125</xdr:colOff>
          <xdr:row>34</xdr:row>
          <xdr:rowOff>0</xdr:rowOff>
        </xdr:to>
        <xdr:sp macro="" textlink="">
          <xdr:nvSpPr>
            <xdr:cNvPr id="111632" name="Drop Down 16" hidden="1">
              <a:extLst>
                <a:ext uri="{63B3BB69-23CF-44E3-9099-C40C66FF867C}">
                  <a14:compatExt spid="_x0000_s111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5</xdr:col>
          <xdr:colOff>752475</xdr:colOff>
          <xdr:row>47</xdr:row>
          <xdr:rowOff>0</xdr:rowOff>
        </xdr:to>
        <xdr:sp macro="" textlink="">
          <xdr:nvSpPr>
            <xdr:cNvPr id="111633" name="Drop Down 17" hidden="1">
              <a:extLst>
                <a:ext uri="{63B3BB69-23CF-44E3-9099-C40C66FF867C}">
                  <a14:compatExt spid="_x0000_s111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29</xdr:row>
          <xdr:rowOff>190500</xdr:rowOff>
        </xdr:from>
        <xdr:to>
          <xdr:col>4</xdr:col>
          <xdr:colOff>723900</xdr:colOff>
          <xdr:row>31</xdr:row>
          <xdr:rowOff>9525</xdr:rowOff>
        </xdr:to>
        <xdr:sp macro="" textlink="">
          <xdr:nvSpPr>
            <xdr:cNvPr id="111634" name="Check Box 18" hidden="1">
              <a:extLst>
                <a:ext uri="{63B3BB69-23CF-44E3-9099-C40C66FF867C}">
                  <a14:compatExt spid="_x0000_s11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771525</xdr:colOff>
          <xdr:row>33</xdr:row>
          <xdr:rowOff>0</xdr:rowOff>
        </xdr:to>
        <xdr:sp macro="" textlink="">
          <xdr:nvSpPr>
            <xdr:cNvPr id="111635" name="Drop Down 19" hidden="1">
              <a:extLst>
                <a:ext uri="{63B3BB69-23CF-44E3-9099-C40C66FF867C}">
                  <a14:compatExt spid="_x0000_s111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771525</xdr:colOff>
          <xdr:row>32</xdr:row>
          <xdr:rowOff>0</xdr:rowOff>
        </xdr:to>
        <xdr:sp macro="" textlink="">
          <xdr:nvSpPr>
            <xdr:cNvPr id="111636" name="Drop Down 20" hidden="1">
              <a:extLst>
                <a:ext uri="{63B3BB69-23CF-44E3-9099-C40C66FF867C}">
                  <a14:compatExt spid="_x0000_s1116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47625</xdr:rowOff>
        </xdr:from>
        <xdr:to>
          <xdr:col>5</xdr:col>
          <xdr:colOff>762000</xdr:colOff>
          <xdr:row>18</xdr:row>
          <xdr:rowOff>28575</xdr:rowOff>
        </xdr:to>
        <xdr:sp macro="" textlink="">
          <xdr:nvSpPr>
            <xdr:cNvPr id="111637" name="Check Box 21" hidden="1">
              <a:extLst>
                <a:ext uri="{63B3BB69-23CF-44E3-9099-C40C66FF867C}">
                  <a14:compatExt spid="_x0000_s11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Seilkran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781050</xdr:colOff>
          <xdr:row>41</xdr:row>
          <xdr:rowOff>0</xdr:rowOff>
        </xdr:to>
        <xdr:sp macro="" textlink="">
          <xdr:nvSpPr>
            <xdr:cNvPr id="111638" name="Drop Down 22" hidden="1">
              <a:extLst>
                <a:ext uri="{63B3BB69-23CF-44E3-9099-C40C66FF867C}">
                  <a14:compatExt spid="_x0000_s1116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22</xdr:row>
          <xdr:rowOff>152400</xdr:rowOff>
        </xdr:from>
        <xdr:to>
          <xdr:col>4</xdr:col>
          <xdr:colOff>723900</xdr:colOff>
          <xdr:row>24</xdr:row>
          <xdr:rowOff>9525</xdr:rowOff>
        </xdr:to>
        <xdr:sp macro="" textlink="">
          <xdr:nvSpPr>
            <xdr:cNvPr id="111640" name="Check Box 24" hidden="1">
              <a:extLst>
                <a:ext uri="{63B3BB69-23CF-44E3-9099-C40C66FF867C}">
                  <a14:compatExt spid="_x0000_s11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171450</xdr:colOff>
      <xdr:row>4</xdr:row>
      <xdr:rowOff>9526</xdr:rowOff>
    </xdr:from>
    <xdr:to>
      <xdr:col>13</xdr:col>
      <xdr:colOff>323850</xdr:colOff>
      <xdr:row>8</xdr:row>
      <xdr:rowOff>66675</xdr:rowOff>
    </xdr:to>
    <xdr:sp macro="" textlink="">
      <xdr:nvSpPr>
        <xdr:cNvPr id="26" name="Textfeld 25"/>
        <xdr:cNvSpPr txBox="1"/>
      </xdr:nvSpPr>
      <xdr:spPr>
        <a:xfrm>
          <a:off x="6838950" y="476251"/>
          <a:ext cx="3962400" cy="6953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1000" b="0" i="0" u="none" strike="noStrike" kern="0" cap="none" spc="0" normalizeH="0" baseline="30000" noProof="0">
              <a:ln>
                <a:noFill/>
              </a:ln>
              <a:solidFill>
                <a:sysClr val="windowText" lastClr="000000"/>
              </a:solidFill>
              <a:effectLst/>
              <a:uLnTx/>
              <a:uFillTx/>
              <a:latin typeface="Arial" panose="020B0604020202020204" pitchFamily="34" charset="0"/>
              <a:ea typeface="+mn-ea"/>
              <a:cs typeface="Arial" panose="020B0604020202020204" pitchFamily="34" charset="0"/>
            </a:rPr>
            <a:t>1</a:t>
          </a:r>
          <a:r>
            <a:rPr kumimoji="0" lang="de-CH"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Werden Weisstannen mit Borkenkäfer im Verpuppungsstadium im Splint entrindet, können die Ansätze für das Entrinden im Jahr 2020 um max. 20% erhöht werden.</a:t>
          </a:r>
        </a:p>
      </xdr:txBody>
    </xdr:sp>
    <xdr:clientData/>
  </xdr:twoCellAnchor>
  <mc:AlternateContent xmlns:mc="http://schemas.openxmlformats.org/markup-compatibility/2006">
    <mc:Choice xmlns:a14="http://schemas.microsoft.com/office/drawing/2010/main" Requires="a14">
      <xdr:twoCellAnchor editAs="oneCell">
        <xdr:from>
          <xdr:col>4</xdr:col>
          <xdr:colOff>238125</xdr:colOff>
          <xdr:row>12</xdr:row>
          <xdr:rowOff>381000</xdr:rowOff>
        </xdr:from>
        <xdr:to>
          <xdr:col>5</xdr:col>
          <xdr:colOff>466725</xdr:colOff>
          <xdr:row>12</xdr:row>
          <xdr:rowOff>609600</xdr:rowOff>
        </xdr:to>
        <xdr:sp macro="" textlink="">
          <xdr:nvSpPr>
            <xdr:cNvPr id="111641" name="Check Box 25" hidden="1">
              <a:extLst>
                <a:ext uri="{63B3BB69-23CF-44E3-9099-C40C66FF867C}">
                  <a14:compatExt spid="_x0000_s111641"/>
                </a:ext>
              </a:extLst>
            </xdr:cNvPr>
            <xdr:cNvSpPr/>
          </xdr:nvSpPr>
          <xdr:spPr bwMode="auto">
            <a:xfrm>
              <a:off x="0" y="0"/>
              <a:ext cx="0" cy="0"/>
            </a:xfrm>
            <a:prstGeom prst="rect">
              <a:avLst/>
            </a:prstGeom>
            <a:noFill/>
            <a:ln>
              <a:noFill/>
            </a:ln>
            <a:extLst>
              <a:ext uri="{909E8E84-426E-40DD-AFC4-6F175D3DCCD1}">
                <a14:hiddenFill>
                  <a:solidFill>
                    <a:srgbClr val="CC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WTBK im Splint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11</xdr:row>
          <xdr:rowOff>0</xdr:rowOff>
        </xdr:from>
        <xdr:to>
          <xdr:col>4</xdr:col>
          <xdr:colOff>685800</xdr:colOff>
          <xdr:row>12</xdr:row>
          <xdr:rowOff>19050</xdr:rowOff>
        </xdr:to>
        <xdr:sp macro="" textlink="">
          <xdr:nvSpPr>
            <xdr:cNvPr id="111642" name="Check Box 26" hidden="1">
              <a:extLst>
                <a:ext uri="{63B3BB69-23CF-44E3-9099-C40C66FF867C}">
                  <a14:compatExt spid="_x0000_s11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19050</xdr:rowOff>
        </xdr:from>
        <xdr:to>
          <xdr:col>4</xdr:col>
          <xdr:colOff>752475</xdr:colOff>
          <xdr:row>16</xdr:row>
          <xdr:rowOff>190500</xdr:rowOff>
        </xdr:to>
        <xdr:sp macro="" textlink="">
          <xdr:nvSpPr>
            <xdr:cNvPr id="111643" name="Check Box 27" hidden="1">
              <a:extLst>
                <a:ext uri="{63B3BB69-23CF-44E3-9099-C40C66FF867C}">
                  <a14:compatExt spid="_x0000_s11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Vollernter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19050</xdr:rowOff>
        </xdr:from>
        <xdr:to>
          <xdr:col>5</xdr:col>
          <xdr:colOff>762000</xdr:colOff>
          <xdr:row>16</xdr:row>
          <xdr:rowOff>190500</xdr:rowOff>
        </xdr:to>
        <xdr:sp macro="" textlink="">
          <xdr:nvSpPr>
            <xdr:cNvPr id="111644" name="Check Box 28" hidden="1">
              <a:extLst>
                <a:ext uri="{63B3BB69-23CF-44E3-9099-C40C66FF867C}">
                  <a14:compatExt spid="_x0000_s11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Seilkran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295275</xdr:rowOff>
        </xdr:from>
        <xdr:to>
          <xdr:col>4</xdr:col>
          <xdr:colOff>723900</xdr:colOff>
          <xdr:row>28</xdr:row>
          <xdr:rowOff>19050</xdr:rowOff>
        </xdr:to>
        <xdr:sp macro="" textlink="">
          <xdr:nvSpPr>
            <xdr:cNvPr id="111645" name="Check Box 29" hidden="1">
              <a:extLst>
                <a:ext uri="{63B3BB69-23CF-44E3-9099-C40C66FF867C}">
                  <a14:compatExt spid="_x0000_s11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27</xdr:row>
          <xdr:rowOff>190500</xdr:rowOff>
        </xdr:from>
        <xdr:to>
          <xdr:col>4</xdr:col>
          <xdr:colOff>723900</xdr:colOff>
          <xdr:row>29</xdr:row>
          <xdr:rowOff>9525</xdr:rowOff>
        </xdr:to>
        <xdr:sp macro="" textlink="">
          <xdr:nvSpPr>
            <xdr:cNvPr id="111646" name="Check Box 30" hidden="1">
              <a:extLst>
                <a:ext uri="{63B3BB69-23CF-44E3-9099-C40C66FF867C}">
                  <a14:compatExt spid="_x0000_s11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51</xdr:row>
          <xdr:rowOff>171450</xdr:rowOff>
        </xdr:from>
        <xdr:to>
          <xdr:col>1</xdr:col>
          <xdr:colOff>95250</xdr:colOff>
          <xdr:row>53</xdr:row>
          <xdr:rowOff>9525</xdr:rowOff>
        </xdr:to>
        <xdr:sp macro="" textlink="">
          <xdr:nvSpPr>
            <xdr:cNvPr id="111649" name="Check Box 33" hidden="1">
              <a:extLst>
                <a:ext uri="{63B3BB69-23CF-44E3-9099-C40C66FF867C}">
                  <a14:compatExt spid="_x0000_s11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171450</xdr:colOff>
          <xdr:row>23</xdr:row>
          <xdr:rowOff>9525</xdr:rowOff>
        </xdr:from>
        <xdr:to>
          <xdr:col>42</xdr:col>
          <xdr:colOff>76200</xdr:colOff>
          <xdr:row>24</xdr:row>
          <xdr:rowOff>85725</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27</xdr:row>
          <xdr:rowOff>9525</xdr:rowOff>
        </xdr:from>
        <xdr:to>
          <xdr:col>42</xdr:col>
          <xdr:colOff>76200</xdr:colOff>
          <xdr:row>28</xdr:row>
          <xdr:rowOff>85725</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29</xdr:row>
          <xdr:rowOff>9525</xdr:rowOff>
        </xdr:from>
        <xdr:to>
          <xdr:col>42</xdr:col>
          <xdr:colOff>76200</xdr:colOff>
          <xdr:row>30</xdr:row>
          <xdr:rowOff>85725</xdr:rowOff>
        </xdr:to>
        <xdr:sp macro="" textlink="">
          <xdr:nvSpPr>
            <xdr:cNvPr id="74764" name="Check Box 12" hidden="1">
              <a:extLst>
                <a:ext uri="{63B3BB69-23CF-44E3-9099-C40C66FF867C}">
                  <a14:compatExt spid="_x0000_s7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33</xdr:row>
          <xdr:rowOff>9525</xdr:rowOff>
        </xdr:from>
        <xdr:to>
          <xdr:col>42</xdr:col>
          <xdr:colOff>76200</xdr:colOff>
          <xdr:row>34</xdr:row>
          <xdr:rowOff>85725</xdr:rowOff>
        </xdr:to>
        <xdr:sp macro="" textlink="">
          <xdr:nvSpPr>
            <xdr:cNvPr id="74765" name="Check Box 13" hidden="1">
              <a:extLst>
                <a:ext uri="{63B3BB69-23CF-44E3-9099-C40C66FF867C}">
                  <a14:compatExt spid="_x0000_s7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25</xdr:row>
          <xdr:rowOff>9525</xdr:rowOff>
        </xdr:from>
        <xdr:to>
          <xdr:col>42</xdr:col>
          <xdr:colOff>76200</xdr:colOff>
          <xdr:row>26</xdr:row>
          <xdr:rowOff>85725</xdr:rowOff>
        </xdr:to>
        <xdr:sp macro="" textlink="">
          <xdr:nvSpPr>
            <xdr:cNvPr id="74766" name="Check Box 14" hidden="1">
              <a:extLst>
                <a:ext uri="{63B3BB69-23CF-44E3-9099-C40C66FF867C}">
                  <a14:compatExt spid="_x0000_s7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62</xdr:row>
          <xdr:rowOff>9525</xdr:rowOff>
        </xdr:from>
        <xdr:to>
          <xdr:col>11</xdr:col>
          <xdr:colOff>66675</xdr:colOff>
          <xdr:row>62</xdr:row>
          <xdr:rowOff>180975</xdr:rowOff>
        </xdr:to>
        <xdr:sp macro="" textlink="">
          <xdr:nvSpPr>
            <xdr:cNvPr id="74778" name="Check Box 26" hidden="1">
              <a:extLst>
                <a:ext uri="{63B3BB69-23CF-44E3-9099-C40C66FF867C}">
                  <a14:compatExt spid="_x0000_s7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62</xdr:row>
          <xdr:rowOff>9525</xdr:rowOff>
        </xdr:from>
        <xdr:to>
          <xdr:col>17</xdr:col>
          <xdr:colOff>57150</xdr:colOff>
          <xdr:row>62</xdr:row>
          <xdr:rowOff>180975</xdr:rowOff>
        </xdr:to>
        <xdr:sp macro="" textlink="">
          <xdr:nvSpPr>
            <xdr:cNvPr id="74780" name="Check Box 28" hidden="1">
              <a:extLst>
                <a:ext uri="{63B3BB69-23CF-44E3-9099-C40C66FF867C}">
                  <a14:compatExt spid="_x0000_s7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14385</xdr:colOff>
      <xdr:row>48</xdr:row>
      <xdr:rowOff>9525</xdr:rowOff>
    </xdr:from>
    <xdr:to>
      <xdr:col>16</xdr:col>
      <xdr:colOff>185835</xdr:colOff>
      <xdr:row>48</xdr:row>
      <xdr:rowOff>179569</xdr:rowOff>
    </xdr:to>
    <xdr:sp macro="" textlink="">
      <xdr:nvSpPr>
        <xdr:cNvPr id="74783" name="Drop Down 31" hidden="1">
          <a:extLst>
            <a:ext uri="{63B3BB69-23CF-44E3-9099-C40C66FF867C}">
              <a14:compatExt xmlns:a14="http://schemas.microsoft.com/office/drawing/2010/main" spid="_x0000_s7478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0</xdr:colOff>
      <xdr:row>48</xdr:row>
      <xdr:rowOff>9525</xdr:rowOff>
    </xdr:from>
    <xdr:to>
      <xdr:col>19</xdr:col>
      <xdr:colOff>154</xdr:colOff>
      <xdr:row>48</xdr:row>
      <xdr:rowOff>179569</xdr:rowOff>
    </xdr:to>
    <xdr:sp macro="" textlink="">
      <xdr:nvSpPr>
        <xdr:cNvPr id="74791" name="Drop Down 39" hidden="1">
          <a:extLst>
            <a:ext uri="{63B3BB69-23CF-44E3-9099-C40C66FF867C}">
              <a14:compatExt xmlns:a14="http://schemas.microsoft.com/office/drawing/2010/main" spid="_x0000_s7479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55</xdr:row>
          <xdr:rowOff>9525</xdr:rowOff>
        </xdr:from>
        <xdr:to>
          <xdr:col>22</xdr:col>
          <xdr:colOff>171450</xdr:colOff>
          <xdr:row>55</xdr:row>
          <xdr:rowOff>180975</xdr:rowOff>
        </xdr:to>
        <xdr:sp macro="" textlink="">
          <xdr:nvSpPr>
            <xdr:cNvPr id="74792" name="Drop Down 40" hidden="1">
              <a:extLst>
                <a:ext uri="{63B3BB69-23CF-44E3-9099-C40C66FF867C}">
                  <a14:compatExt spid="_x0000_s747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9525</xdr:rowOff>
        </xdr:from>
        <xdr:to>
          <xdr:col>22</xdr:col>
          <xdr:colOff>171450</xdr:colOff>
          <xdr:row>56</xdr:row>
          <xdr:rowOff>180975</xdr:rowOff>
        </xdr:to>
        <xdr:sp macro="" textlink="">
          <xdr:nvSpPr>
            <xdr:cNvPr id="74793" name="Drop Down 41" hidden="1">
              <a:extLst>
                <a:ext uri="{63B3BB69-23CF-44E3-9099-C40C66FF867C}">
                  <a14:compatExt spid="_x0000_s74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0</xdr:rowOff>
        </xdr:from>
        <xdr:to>
          <xdr:col>22</xdr:col>
          <xdr:colOff>171450</xdr:colOff>
          <xdr:row>57</xdr:row>
          <xdr:rowOff>171450</xdr:rowOff>
        </xdr:to>
        <xdr:sp macro="" textlink="">
          <xdr:nvSpPr>
            <xdr:cNvPr id="74794" name="Drop Down 42" hidden="1">
              <a:extLst>
                <a:ext uri="{63B3BB69-23CF-44E3-9099-C40C66FF867C}">
                  <a14:compatExt spid="_x0000_s74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19050</xdr:rowOff>
        </xdr:from>
        <xdr:to>
          <xdr:col>17</xdr:col>
          <xdr:colOff>0</xdr:colOff>
          <xdr:row>49</xdr:row>
          <xdr:rowOff>180975</xdr:rowOff>
        </xdr:to>
        <xdr:sp macro="" textlink="">
          <xdr:nvSpPr>
            <xdr:cNvPr id="74795" name="Drop Down 43" hidden="1">
              <a:extLst>
                <a:ext uri="{63B3BB69-23CF-44E3-9099-C40C66FF867C}">
                  <a14:compatExt spid="_x0000_s74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9525</xdr:rowOff>
        </xdr:from>
        <xdr:to>
          <xdr:col>17</xdr:col>
          <xdr:colOff>0</xdr:colOff>
          <xdr:row>50</xdr:row>
          <xdr:rowOff>180975</xdr:rowOff>
        </xdr:to>
        <xdr:sp macro="" textlink="">
          <xdr:nvSpPr>
            <xdr:cNvPr id="74796" name="Drop Down 44" hidden="1">
              <a:extLst>
                <a:ext uri="{63B3BB69-23CF-44E3-9099-C40C66FF867C}">
                  <a14:compatExt spid="_x0000_s747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9525</xdr:rowOff>
        </xdr:from>
        <xdr:to>
          <xdr:col>17</xdr:col>
          <xdr:colOff>0</xdr:colOff>
          <xdr:row>51</xdr:row>
          <xdr:rowOff>180975</xdr:rowOff>
        </xdr:to>
        <xdr:sp macro="" textlink="">
          <xdr:nvSpPr>
            <xdr:cNvPr id="74797" name="Drop Down 45" hidden="1">
              <a:extLst>
                <a:ext uri="{63B3BB69-23CF-44E3-9099-C40C66FF867C}">
                  <a14:compatExt spid="_x0000_s747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9525</xdr:rowOff>
        </xdr:from>
        <xdr:to>
          <xdr:col>19</xdr:col>
          <xdr:colOff>0</xdr:colOff>
          <xdr:row>49</xdr:row>
          <xdr:rowOff>180975</xdr:rowOff>
        </xdr:to>
        <xdr:sp macro="" textlink="">
          <xdr:nvSpPr>
            <xdr:cNvPr id="74798" name="Drop Down 46" hidden="1">
              <a:extLst>
                <a:ext uri="{63B3BB69-23CF-44E3-9099-C40C66FF867C}">
                  <a14:compatExt spid="_x0000_s74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9525</xdr:rowOff>
        </xdr:from>
        <xdr:to>
          <xdr:col>19</xdr:col>
          <xdr:colOff>0</xdr:colOff>
          <xdr:row>50</xdr:row>
          <xdr:rowOff>180975</xdr:rowOff>
        </xdr:to>
        <xdr:sp macro="" textlink="">
          <xdr:nvSpPr>
            <xdr:cNvPr id="74799" name="Drop Down 47" hidden="1">
              <a:extLst>
                <a:ext uri="{63B3BB69-23CF-44E3-9099-C40C66FF867C}">
                  <a14:compatExt spid="_x0000_s747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9525</xdr:rowOff>
        </xdr:from>
        <xdr:to>
          <xdr:col>19</xdr:col>
          <xdr:colOff>0</xdr:colOff>
          <xdr:row>51</xdr:row>
          <xdr:rowOff>180975</xdr:rowOff>
        </xdr:to>
        <xdr:sp macro="" textlink="">
          <xdr:nvSpPr>
            <xdr:cNvPr id="74800" name="Drop Down 48" hidden="1">
              <a:extLst>
                <a:ext uri="{63B3BB69-23CF-44E3-9099-C40C66FF867C}">
                  <a14:compatExt spid="_x0000_s748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9525</xdr:rowOff>
        </xdr:from>
        <xdr:to>
          <xdr:col>21</xdr:col>
          <xdr:colOff>0</xdr:colOff>
          <xdr:row>48</xdr:row>
          <xdr:rowOff>180975</xdr:rowOff>
        </xdr:to>
        <xdr:sp macro="" textlink="">
          <xdr:nvSpPr>
            <xdr:cNvPr id="74801" name="Drop Down 49" hidden="1">
              <a:extLst>
                <a:ext uri="{63B3BB69-23CF-44E3-9099-C40C66FF867C}">
                  <a14:compatExt spid="_x0000_s748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9525</xdr:rowOff>
        </xdr:from>
        <xdr:to>
          <xdr:col>21</xdr:col>
          <xdr:colOff>0</xdr:colOff>
          <xdr:row>49</xdr:row>
          <xdr:rowOff>180975</xdr:rowOff>
        </xdr:to>
        <xdr:sp macro="" textlink="">
          <xdr:nvSpPr>
            <xdr:cNvPr id="74802" name="Drop Down 50" hidden="1">
              <a:extLst>
                <a:ext uri="{63B3BB69-23CF-44E3-9099-C40C66FF867C}">
                  <a14:compatExt spid="_x0000_s748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50</xdr:row>
          <xdr:rowOff>9525</xdr:rowOff>
        </xdr:from>
        <xdr:to>
          <xdr:col>21</xdr:col>
          <xdr:colOff>0</xdr:colOff>
          <xdr:row>50</xdr:row>
          <xdr:rowOff>180975</xdr:rowOff>
        </xdr:to>
        <xdr:sp macro="" textlink="">
          <xdr:nvSpPr>
            <xdr:cNvPr id="74803" name="Drop Down 51" hidden="1">
              <a:extLst>
                <a:ext uri="{63B3BB69-23CF-44E3-9099-C40C66FF867C}">
                  <a14:compatExt spid="_x0000_s748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9525</xdr:rowOff>
        </xdr:from>
        <xdr:to>
          <xdr:col>21</xdr:col>
          <xdr:colOff>0</xdr:colOff>
          <xdr:row>51</xdr:row>
          <xdr:rowOff>180975</xdr:rowOff>
        </xdr:to>
        <xdr:sp macro="" textlink="">
          <xdr:nvSpPr>
            <xdr:cNvPr id="74804" name="Drop Down 52" hidden="1">
              <a:extLst>
                <a:ext uri="{63B3BB69-23CF-44E3-9099-C40C66FF867C}">
                  <a14:compatExt spid="_x0000_s748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xdr:row>
          <xdr:rowOff>9525</xdr:rowOff>
        </xdr:from>
        <xdr:to>
          <xdr:col>23</xdr:col>
          <xdr:colOff>0</xdr:colOff>
          <xdr:row>48</xdr:row>
          <xdr:rowOff>180975</xdr:rowOff>
        </xdr:to>
        <xdr:sp macro="" textlink="">
          <xdr:nvSpPr>
            <xdr:cNvPr id="74805" name="Drop Down 53" hidden="1">
              <a:extLst>
                <a:ext uri="{63B3BB69-23CF-44E3-9099-C40C66FF867C}">
                  <a14:compatExt spid="_x0000_s748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xdr:row>
          <xdr:rowOff>9525</xdr:rowOff>
        </xdr:from>
        <xdr:to>
          <xdr:col>23</xdr:col>
          <xdr:colOff>0</xdr:colOff>
          <xdr:row>49</xdr:row>
          <xdr:rowOff>180975</xdr:rowOff>
        </xdr:to>
        <xdr:sp macro="" textlink="">
          <xdr:nvSpPr>
            <xdr:cNvPr id="74806" name="Drop Down 54" hidden="1">
              <a:extLst>
                <a:ext uri="{63B3BB69-23CF-44E3-9099-C40C66FF867C}">
                  <a14:compatExt spid="_x0000_s74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xdr:row>
          <xdr:rowOff>9525</xdr:rowOff>
        </xdr:from>
        <xdr:to>
          <xdr:col>23</xdr:col>
          <xdr:colOff>0</xdr:colOff>
          <xdr:row>50</xdr:row>
          <xdr:rowOff>180975</xdr:rowOff>
        </xdr:to>
        <xdr:sp macro="" textlink="">
          <xdr:nvSpPr>
            <xdr:cNvPr id="74807" name="Drop Down 55" hidden="1">
              <a:extLst>
                <a:ext uri="{63B3BB69-23CF-44E3-9099-C40C66FF867C}">
                  <a14:compatExt spid="_x0000_s748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xdr:row>
          <xdr:rowOff>9525</xdr:rowOff>
        </xdr:from>
        <xdr:to>
          <xdr:col>23</xdr:col>
          <xdr:colOff>0</xdr:colOff>
          <xdr:row>51</xdr:row>
          <xdr:rowOff>180975</xdr:rowOff>
        </xdr:to>
        <xdr:sp macro="" textlink="">
          <xdr:nvSpPr>
            <xdr:cNvPr id="74808" name="Drop Down 56" hidden="1">
              <a:extLst>
                <a:ext uri="{63B3BB69-23CF-44E3-9099-C40C66FF867C}">
                  <a14:compatExt spid="_x0000_s748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60</xdr:row>
          <xdr:rowOff>9525</xdr:rowOff>
        </xdr:from>
        <xdr:to>
          <xdr:col>22</xdr:col>
          <xdr:colOff>180975</xdr:colOff>
          <xdr:row>60</xdr:row>
          <xdr:rowOff>180975</xdr:rowOff>
        </xdr:to>
        <xdr:sp macro="" textlink="">
          <xdr:nvSpPr>
            <xdr:cNvPr id="74811" name="Drop Down 59" hidden="1">
              <a:extLst>
                <a:ext uri="{63B3BB69-23CF-44E3-9099-C40C66FF867C}">
                  <a14:compatExt spid="_x0000_s748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9525</xdr:rowOff>
        </xdr:from>
        <xdr:to>
          <xdr:col>22</xdr:col>
          <xdr:colOff>180975</xdr:colOff>
          <xdr:row>61</xdr:row>
          <xdr:rowOff>171450</xdr:rowOff>
        </xdr:to>
        <xdr:sp macro="" textlink="">
          <xdr:nvSpPr>
            <xdr:cNvPr id="74812" name="Drop Down 60" hidden="1">
              <a:extLst>
                <a:ext uri="{63B3BB69-23CF-44E3-9099-C40C66FF867C}">
                  <a14:compatExt spid="_x0000_s748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64</xdr:row>
          <xdr:rowOff>9525</xdr:rowOff>
        </xdr:from>
        <xdr:to>
          <xdr:col>22</xdr:col>
          <xdr:colOff>180975</xdr:colOff>
          <xdr:row>64</xdr:row>
          <xdr:rowOff>180975</xdr:rowOff>
        </xdr:to>
        <xdr:sp macro="" textlink="">
          <xdr:nvSpPr>
            <xdr:cNvPr id="74816" name="Drop Down 64" hidden="1">
              <a:extLst>
                <a:ext uri="{63B3BB69-23CF-44E3-9099-C40C66FF867C}">
                  <a14:compatExt spid="_x0000_s748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xdr:row>
          <xdr:rowOff>9525</xdr:rowOff>
        </xdr:from>
        <xdr:to>
          <xdr:col>23</xdr:col>
          <xdr:colOff>0</xdr:colOff>
          <xdr:row>51</xdr:row>
          <xdr:rowOff>180975</xdr:rowOff>
        </xdr:to>
        <xdr:sp macro="" textlink="">
          <xdr:nvSpPr>
            <xdr:cNvPr id="74818" name="Drop Down 66" hidden="1">
              <a:extLst>
                <a:ext uri="{63B3BB69-23CF-44E3-9099-C40C66FF867C}">
                  <a14:compatExt spid="_x0000_s74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19050</xdr:rowOff>
        </xdr:from>
        <xdr:to>
          <xdr:col>17</xdr:col>
          <xdr:colOff>0</xdr:colOff>
          <xdr:row>48</xdr:row>
          <xdr:rowOff>180975</xdr:rowOff>
        </xdr:to>
        <xdr:sp macro="" textlink="">
          <xdr:nvSpPr>
            <xdr:cNvPr id="74819" name="Drop Down 67" hidden="1">
              <a:extLst>
                <a:ext uri="{63B3BB69-23CF-44E3-9099-C40C66FF867C}">
                  <a14:compatExt spid="_x0000_s74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9525</xdr:rowOff>
        </xdr:from>
        <xdr:to>
          <xdr:col>19</xdr:col>
          <xdr:colOff>0</xdr:colOff>
          <xdr:row>48</xdr:row>
          <xdr:rowOff>180975</xdr:rowOff>
        </xdr:to>
        <xdr:sp macro="" textlink="">
          <xdr:nvSpPr>
            <xdr:cNvPr id="74820" name="Drop Down 68" hidden="1">
              <a:extLst>
                <a:ext uri="{63B3BB69-23CF-44E3-9099-C40C66FF867C}">
                  <a14:compatExt spid="_x0000_s748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45</xdr:row>
          <xdr:rowOff>9525</xdr:rowOff>
        </xdr:from>
        <xdr:to>
          <xdr:col>1</xdr:col>
          <xdr:colOff>266700</xdr:colOff>
          <xdr:row>45</xdr:row>
          <xdr:rowOff>228600</xdr:rowOff>
        </xdr:to>
        <xdr:sp macro="" textlink="">
          <xdr:nvSpPr>
            <xdr:cNvPr id="102401" name="Check Box 1" hidden="1">
              <a:extLst>
                <a:ext uri="{63B3BB69-23CF-44E3-9099-C40C66FF867C}">
                  <a14:compatExt spid="_x0000_s10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1</xdr:col>
          <xdr:colOff>266700</xdr:colOff>
          <xdr:row>47</xdr:row>
          <xdr:rowOff>228600</xdr:rowOff>
        </xdr:to>
        <xdr:sp macro="" textlink="">
          <xdr:nvSpPr>
            <xdr:cNvPr id="102402" name="Check Box 2" hidden="1">
              <a:extLst>
                <a:ext uri="{63B3BB69-23CF-44E3-9099-C40C66FF867C}">
                  <a14:compatExt spid="_x0000_s10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1</xdr:row>
      <xdr:rowOff>38100</xdr:rowOff>
    </xdr:from>
    <xdr:to>
      <xdr:col>7</xdr:col>
      <xdr:colOff>628650</xdr:colOff>
      <xdr:row>56</xdr:row>
      <xdr:rowOff>57150</xdr:rowOff>
    </xdr:to>
    <xdr:pic>
      <xdr:nvPicPr>
        <xdr:cNvPr id="87043"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00025"/>
          <a:ext cx="6276975" cy="892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ctrlProp" Target="../ctrlProps/ctrlProp129.xml"/><Relationship Id="rId4" Type="http://schemas.openxmlformats.org/officeDocument/2006/relationships/ctrlProp" Target="../ctrlProps/ctrlProp12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ebirgswald.ch/de/anforderungen-steinschlag.html" TargetMode="External"/><Relationship Id="rId7" Type="http://schemas.openxmlformats.org/officeDocument/2006/relationships/printerSettings" Target="../printerSettings/printerSettings2.bin"/><Relationship Id="rId2" Type="http://schemas.openxmlformats.org/officeDocument/2006/relationships/hyperlink" Target="http://www.gebirgswald.ch/de/NaiS.html" TargetMode="External"/><Relationship Id="rId1" Type="http://schemas.openxmlformats.org/officeDocument/2006/relationships/hyperlink" Target="https://www.nais-form2.ch/Formular" TargetMode="External"/><Relationship Id="rId6" Type="http://schemas.openxmlformats.org/officeDocument/2006/relationships/hyperlink" Target="http://www.gebirgswald.ch/de/anforderungen-steinschlag.html" TargetMode="External"/><Relationship Id="rId5" Type="http://schemas.openxmlformats.org/officeDocument/2006/relationships/hyperlink" Target="https://www.nais-form2.ch/Formular" TargetMode="External"/><Relationship Id="rId4" Type="http://schemas.openxmlformats.org/officeDocument/2006/relationships/hyperlink" Target="http://www.gebirgswald.ch/de/NaiS.html"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 Type="http://schemas.openxmlformats.org/officeDocument/2006/relationships/drawing" Target="../drawings/drawing5.x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2" Type="http://schemas.openxmlformats.org/officeDocument/2006/relationships/printerSettings" Target="../printerSettings/printerSettings6.bin"/><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1" Type="http://schemas.openxmlformats.org/officeDocument/2006/relationships/hyperlink" Target="http://www.be.ch/wis-karten" TargetMode="External"/><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vmlDrawing" Target="../drawings/vmlDrawing5.v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omments" Target="../comments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 Type="http://schemas.openxmlformats.org/officeDocument/2006/relationships/vmlDrawing" Target="../drawings/vmlDrawing6.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omments" Target="../comments2.xml"/><Relationship Id="rId2" Type="http://schemas.openxmlformats.org/officeDocument/2006/relationships/drawing" Target="../drawings/drawing6.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 Type="http://schemas.openxmlformats.org/officeDocument/2006/relationships/printerSettings" Target="../printerSettings/printerSettings8.bin"/><Relationship Id="rId21" Type="http://schemas.openxmlformats.org/officeDocument/2006/relationships/ctrlProp" Target="../ctrlProps/ctrlProp113.xml"/><Relationship Id="rId34" Type="http://schemas.openxmlformats.org/officeDocument/2006/relationships/ctrlProp" Target="../ctrlProps/ctrlProp126.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2" Type="http://schemas.openxmlformats.org/officeDocument/2006/relationships/externalLinkPath" Target="https://www.collab.apps.be.ch/weu/awn-kreisschreiben/Documents/AWN_Alle/01_Kreisschreiben_Deutsch/06_Waldbau_Oekologie/KS_617_Pflege_Objektschutzwald_OSW_Beilage7_Sammelmappe.xlsx?NoRedirect=true" TargetMode="External"/><Relationship Id="rId16" Type="http://schemas.openxmlformats.org/officeDocument/2006/relationships/ctrlProp" Target="../ctrlProps/ctrlProp108.xml"/><Relationship Id="rId20" Type="http://schemas.openxmlformats.org/officeDocument/2006/relationships/ctrlProp" Target="../ctrlProps/ctrlProp112.xml"/><Relationship Id="rId29" Type="http://schemas.openxmlformats.org/officeDocument/2006/relationships/ctrlProp" Target="../ctrlProps/ctrlProp121.xml"/><Relationship Id="rId1" Type="http://schemas.openxmlformats.org/officeDocument/2006/relationships/externalLinkPath" Target="https://www.collab.apps.be.ch/AWN/050_WAV/08_Daten_F&#246;rster/Schenk_Michael/Reviere/2009_Langnau/OSW-Projekte/Allgemeines/Entwurf_OSW-Abrechnung_AWN_Version_21.01.xlsx" TargetMode="External"/><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5" Type="http://schemas.openxmlformats.org/officeDocument/2006/relationships/vmlDrawing" Target="../drawings/vmlDrawing7.v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omments" Target="../comments3.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 Type="http://schemas.openxmlformats.org/officeDocument/2006/relationships/drawing" Target="../drawings/drawing7.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8" tint="0.79998168889431442"/>
  </sheetPr>
  <dimension ref="A1:X74"/>
  <sheetViews>
    <sheetView tabSelected="1" zoomScale="60" zoomScaleNormal="60" workbookViewId="0">
      <selection activeCell="B6" sqref="B6:X8"/>
    </sheetView>
  </sheetViews>
  <sheetFormatPr baseColWidth="10" defaultRowHeight="14.25"/>
  <cols>
    <col min="1" max="1" width="3" style="125" customWidth="1"/>
    <col min="2" max="2" width="21.28515625" style="84" customWidth="1"/>
    <col min="3" max="3" width="14.28515625" style="84" customWidth="1"/>
    <col min="4" max="4" width="4.140625" style="84" customWidth="1"/>
    <col min="5" max="5" width="7.85546875" style="84" customWidth="1"/>
    <col min="6" max="12" width="4.140625" style="84" customWidth="1"/>
    <col min="13" max="24" width="4.140625" style="111" customWidth="1"/>
    <col min="25" max="16384" width="11.42578125" style="84"/>
  </cols>
  <sheetData>
    <row r="1" spans="1:24" ht="21" customHeight="1">
      <c r="A1" s="616" t="s">
        <v>140</v>
      </c>
      <c r="B1" s="617"/>
      <c r="C1" s="612" t="s">
        <v>201</v>
      </c>
      <c r="D1" s="612"/>
      <c r="E1" s="612"/>
      <c r="F1" s="612"/>
      <c r="G1" s="612"/>
      <c r="H1" s="612"/>
      <c r="I1" s="612"/>
      <c r="J1" s="612"/>
      <c r="K1" s="612"/>
      <c r="L1" s="612"/>
      <c r="M1" s="612"/>
      <c r="N1" s="612"/>
      <c r="O1" s="612"/>
      <c r="P1" s="612"/>
      <c r="Q1" s="612"/>
      <c r="R1" s="612"/>
      <c r="S1" s="612"/>
      <c r="T1" s="629" t="s">
        <v>318</v>
      </c>
      <c r="U1" s="629"/>
      <c r="V1" s="629"/>
      <c r="W1" s="629"/>
      <c r="X1" s="629"/>
    </row>
    <row r="2" spans="1:24" ht="18" customHeight="1" thickBot="1">
      <c r="A2" s="617"/>
      <c r="B2" s="617"/>
      <c r="C2" s="612" t="s">
        <v>317</v>
      </c>
      <c r="D2" s="612"/>
      <c r="E2" s="612"/>
      <c r="F2" s="612"/>
      <c r="G2" s="612"/>
      <c r="H2" s="612"/>
      <c r="I2" s="612"/>
      <c r="J2" s="612"/>
      <c r="K2" s="612"/>
      <c r="L2" s="612"/>
      <c r="M2" s="612"/>
      <c r="N2" s="612"/>
      <c r="O2" s="612"/>
      <c r="P2" s="612"/>
      <c r="Q2" s="612"/>
      <c r="R2" s="612"/>
      <c r="S2" s="612"/>
      <c r="T2" s="628" t="s">
        <v>1046</v>
      </c>
      <c r="U2" s="628"/>
      <c r="V2" s="628"/>
      <c r="W2" s="628"/>
      <c r="X2" s="628"/>
    </row>
    <row r="3" spans="1:24" ht="18" customHeight="1">
      <c r="A3" s="618" t="s">
        <v>202</v>
      </c>
      <c r="B3" s="619"/>
      <c r="C3" s="619"/>
      <c r="D3" s="619"/>
      <c r="E3" s="619"/>
      <c r="F3" s="619"/>
      <c r="G3" s="619"/>
      <c r="H3" s="619"/>
      <c r="I3" s="619"/>
      <c r="J3" s="619"/>
      <c r="K3" s="619"/>
      <c r="L3" s="619"/>
      <c r="M3" s="619"/>
      <c r="N3" s="619"/>
      <c r="O3" s="622" t="s">
        <v>142</v>
      </c>
      <c r="P3" s="623"/>
      <c r="Q3" s="623"/>
      <c r="R3" s="623"/>
      <c r="S3" s="623"/>
      <c r="T3" s="623"/>
      <c r="U3" s="623"/>
      <c r="V3" s="623"/>
      <c r="W3" s="623"/>
      <c r="X3" s="626"/>
    </row>
    <row r="4" spans="1:24" ht="18" customHeight="1" thickBot="1">
      <c r="A4" s="620"/>
      <c r="B4" s="621"/>
      <c r="C4" s="621"/>
      <c r="D4" s="621"/>
      <c r="E4" s="621"/>
      <c r="F4" s="621"/>
      <c r="G4" s="621"/>
      <c r="H4" s="621"/>
      <c r="I4" s="621"/>
      <c r="J4" s="621"/>
      <c r="K4" s="621"/>
      <c r="L4" s="621"/>
      <c r="M4" s="621"/>
      <c r="N4" s="621"/>
      <c r="O4" s="624"/>
      <c r="P4" s="625"/>
      <c r="Q4" s="625"/>
      <c r="R4" s="625"/>
      <c r="S4" s="625"/>
      <c r="T4" s="625"/>
      <c r="U4" s="625"/>
      <c r="V4" s="625"/>
      <c r="W4" s="625"/>
      <c r="X4" s="627"/>
    </row>
    <row r="5" spans="1:24" ht="18" customHeight="1">
      <c r="A5" s="164">
        <v>1</v>
      </c>
      <c r="B5" s="630" t="s">
        <v>203</v>
      </c>
      <c r="C5" s="631"/>
      <c r="D5" s="631"/>
      <c r="E5" s="631"/>
      <c r="F5" s="631"/>
      <c r="G5" s="631"/>
      <c r="H5" s="631"/>
      <c r="I5" s="631"/>
      <c r="J5" s="631"/>
      <c r="K5" s="631"/>
      <c r="L5" s="631"/>
      <c r="M5" s="631"/>
      <c r="N5" s="631"/>
      <c r="O5" s="631"/>
      <c r="P5" s="631"/>
      <c r="Q5" s="631"/>
      <c r="R5" s="631"/>
      <c r="S5" s="631"/>
      <c r="T5" s="631"/>
      <c r="U5" s="631"/>
      <c r="V5" s="631"/>
      <c r="W5" s="631"/>
      <c r="X5" s="632"/>
    </row>
    <row r="6" spans="1:24" ht="18" customHeight="1">
      <c r="A6" s="524"/>
      <c r="B6" s="634"/>
      <c r="C6" s="634"/>
      <c r="D6" s="634"/>
      <c r="E6" s="634"/>
      <c r="F6" s="634"/>
      <c r="G6" s="634"/>
      <c r="H6" s="634"/>
      <c r="I6" s="634"/>
      <c r="J6" s="634"/>
      <c r="K6" s="634"/>
      <c r="L6" s="634"/>
      <c r="M6" s="634"/>
      <c r="N6" s="634"/>
      <c r="O6" s="634"/>
      <c r="P6" s="634"/>
      <c r="Q6" s="634"/>
      <c r="R6" s="634"/>
      <c r="S6" s="634"/>
      <c r="T6" s="634"/>
      <c r="U6" s="634"/>
      <c r="V6" s="634"/>
      <c r="W6" s="634"/>
      <c r="X6" s="635"/>
    </row>
    <row r="7" spans="1:24" ht="18" customHeight="1">
      <c r="A7" s="524"/>
      <c r="B7" s="634"/>
      <c r="C7" s="634"/>
      <c r="D7" s="634"/>
      <c r="E7" s="634"/>
      <c r="F7" s="634"/>
      <c r="G7" s="634"/>
      <c r="H7" s="634"/>
      <c r="I7" s="634"/>
      <c r="J7" s="634"/>
      <c r="K7" s="634"/>
      <c r="L7" s="634"/>
      <c r="M7" s="634"/>
      <c r="N7" s="634"/>
      <c r="O7" s="634"/>
      <c r="P7" s="634"/>
      <c r="Q7" s="634"/>
      <c r="R7" s="634"/>
      <c r="S7" s="634"/>
      <c r="T7" s="634"/>
      <c r="U7" s="634"/>
      <c r="V7" s="634"/>
      <c r="W7" s="634"/>
      <c r="X7" s="635"/>
    </row>
    <row r="8" spans="1:24" ht="18" customHeight="1" thickBot="1">
      <c r="A8" s="633"/>
      <c r="B8" s="636"/>
      <c r="C8" s="636"/>
      <c r="D8" s="636"/>
      <c r="E8" s="636"/>
      <c r="F8" s="636"/>
      <c r="G8" s="636"/>
      <c r="H8" s="636"/>
      <c r="I8" s="636"/>
      <c r="J8" s="636"/>
      <c r="K8" s="636"/>
      <c r="L8" s="636"/>
      <c r="M8" s="636"/>
      <c r="N8" s="636"/>
      <c r="O8" s="636"/>
      <c r="P8" s="636"/>
      <c r="Q8" s="636"/>
      <c r="R8" s="636"/>
      <c r="S8" s="636"/>
      <c r="T8" s="636"/>
      <c r="U8" s="636"/>
      <c r="V8" s="636"/>
      <c r="W8" s="636"/>
      <c r="X8" s="637"/>
    </row>
    <row r="9" spans="1:24" s="112" customFormat="1" ht="18" customHeight="1">
      <c r="A9" s="168">
        <v>2</v>
      </c>
      <c r="B9" s="638" t="s">
        <v>204</v>
      </c>
      <c r="C9" s="638"/>
      <c r="D9" s="638"/>
      <c r="E9" s="638"/>
      <c r="F9" s="638"/>
      <c r="G9" s="638"/>
      <c r="H9" s="638"/>
      <c r="I9" s="638"/>
      <c r="J9" s="638"/>
      <c r="K9" s="638"/>
      <c r="L9" s="638"/>
      <c r="M9" s="638"/>
      <c r="N9" s="638"/>
      <c r="O9" s="638"/>
      <c r="P9" s="638"/>
      <c r="Q9" s="638"/>
      <c r="R9" s="638"/>
      <c r="S9" s="638"/>
      <c r="T9" s="638"/>
      <c r="U9" s="638"/>
      <c r="V9" s="638"/>
      <c r="W9" s="638"/>
      <c r="X9" s="639"/>
    </row>
    <row r="10" spans="1:24" s="112" customFormat="1" ht="9" customHeight="1">
      <c r="A10" s="524"/>
      <c r="B10" s="640"/>
      <c r="C10" s="640"/>
      <c r="D10" s="640"/>
      <c r="E10" s="640"/>
      <c r="F10" s="640"/>
      <c r="G10" s="640"/>
      <c r="H10" s="640"/>
      <c r="I10" s="640"/>
      <c r="J10" s="640"/>
      <c r="K10" s="640"/>
      <c r="L10" s="640"/>
      <c r="M10" s="640"/>
      <c r="N10" s="640"/>
      <c r="O10" s="640"/>
      <c r="P10" s="640"/>
      <c r="Q10" s="640"/>
      <c r="R10" s="640"/>
      <c r="S10" s="640"/>
      <c r="T10" s="640"/>
      <c r="U10" s="640"/>
      <c r="V10" s="640"/>
      <c r="W10" s="640"/>
      <c r="X10" s="641"/>
    </row>
    <row r="11" spans="1:24" s="112" customFormat="1" ht="17.25" customHeight="1">
      <c r="A11" s="524"/>
      <c r="B11" s="589" t="s">
        <v>205</v>
      </c>
      <c r="C11" s="589"/>
      <c r="D11" s="589"/>
      <c r="E11" s="642"/>
      <c r="F11" s="642"/>
      <c r="G11" s="642"/>
      <c r="H11" s="126" t="s">
        <v>24</v>
      </c>
      <c r="I11" s="115" t="s">
        <v>206</v>
      </c>
      <c r="J11" s="172"/>
      <c r="K11" s="172"/>
      <c r="L11" s="172"/>
      <c r="M11" s="172"/>
      <c r="N11" s="172"/>
      <c r="O11" s="158"/>
      <c r="P11" s="643" t="s">
        <v>207</v>
      </c>
      <c r="Q11" s="643"/>
      <c r="R11" s="643"/>
      <c r="S11" s="643"/>
      <c r="T11" s="644"/>
      <c r="U11" s="644"/>
      <c r="V11" s="644"/>
      <c r="W11" s="613" t="s">
        <v>208</v>
      </c>
      <c r="X11" s="614"/>
    </row>
    <row r="12" spans="1:24" s="112" customFormat="1" ht="9" customHeight="1">
      <c r="A12" s="524"/>
      <c r="B12" s="602"/>
      <c r="C12" s="602"/>
      <c r="D12" s="602"/>
      <c r="E12" s="602"/>
      <c r="F12" s="602"/>
      <c r="G12" s="602"/>
      <c r="H12" s="602"/>
      <c r="I12" s="602"/>
      <c r="J12" s="602"/>
      <c r="K12" s="602"/>
      <c r="L12" s="602"/>
      <c r="M12" s="602"/>
      <c r="N12" s="602"/>
      <c r="O12" s="602"/>
      <c r="P12" s="602"/>
      <c r="Q12" s="602"/>
      <c r="R12" s="602"/>
      <c r="S12" s="602"/>
      <c r="T12" s="602"/>
      <c r="U12" s="602"/>
      <c r="V12" s="602"/>
      <c r="W12" s="602"/>
      <c r="X12" s="603"/>
    </row>
    <row r="13" spans="1:24" s="112" customFormat="1" ht="17.25" customHeight="1">
      <c r="A13" s="524"/>
      <c r="B13" s="589" t="s">
        <v>209</v>
      </c>
      <c r="C13" s="589"/>
      <c r="D13" s="159"/>
      <c r="E13" s="159"/>
      <c r="F13" s="159"/>
      <c r="G13" s="179"/>
      <c r="H13" s="604" t="s">
        <v>210</v>
      </c>
      <c r="I13" s="604"/>
      <c r="J13" s="604"/>
      <c r="K13" s="605" t="s">
        <v>211</v>
      </c>
      <c r="L13" s="605"/>
      <c r="M13" s="179"/>
      <c r="N13" s="606" t="s">
        <v>212</v>
      </c>
      <c r="O13" s="606"/>
      <c r="P13" s="606"/>
      <c r="Q13" s="159"/>
      <c r="R13" s="179"/>
      <c r="S13" s="606" t="s">
        <v>213</v>
      </c>
      <c r="T13" s="606"/>
      <c r="U13" s="606"/>
      <c r="V13" s="606"/>
      <c r="W13" s="114"/>
      <c r="X13" s="160"/>
    </row>
    <row r="14" spans="1:24" s="112" customFormat="1" ht="9" customHeight="1">
      <c r="A14" s="524"/>
      <c r="B14" s="159"/>
      <c r="C14" s="159"/>
      <c r="D14" s="159"/>
      <c r="E14" s="159"/>
      <c r="F14" s="159"/>
      <c r="G14" s="159"/>
      <c r="H14" s="159"/>
      <c r="I14" s="159"/>
      <c r="J14" s="159"/>
      <c r="K14" s="159"/>
      <c r="L14" s="159"/>
      <c r="M14" s="159"/>
      <c r="N14" s="159"/>
      <c r="O14" s="159"/>
      <c r="P14" s="159"/>
      <c r="Q14" s="159"/>
      <c r="R14" s="159"/>
      <c r="S14" s="159"/>
      <c r="T14" s="159"/>
      <c r="U14" s="159"/>
      <c r="V14" s="159"/>
      <c r="W14" s="159"/>
      <c r="X14" s="160"/>
    </row>
    <row r="15" spans="1:24" s="112" customFormat="1" ht="18" customHeight="1">
      <c r="A15" s="524"/>
      <c r="B15" s="589" t="s">
        <v>214</v>
      </c>
      <c r="C15" s="589"/>
      <c r="D15" s="165"/>
      <c r="E15" s="165"/>
      <c r="F15" s="165"/>
      <c r="G15" s="180"/>
      <c r="H15" s="604" t="s">
        <v>215</v>
      </c>
      <c r="I15" s="604"/>
      <c r="J15" s="604"/>
      <c r="K15" s="163"/>
      <c r="L15" s="145"/>
      <c r="M15" s="180"/>
      <c r="N15" s="162" t="s">
        <v>216</v>
      </c>
      <c r="O15" s="162"/>
      <c r="P15" s="162"/>
      <c r="Q15" s="163"/>
      <c r="R15" s="163"/>
      <c r="S15" s="163"/>
      <c r="T15" s="163"/>
      <c r="U15" s="163"/>
      <c r="V15" s="165"/>
      <c r="W15" s="165"/>
      <c r="X15" s="160"/>
    </row>
    <row r="16" spans="1:24" s="112" customFormat="1" ht="4.5" customHeight="1">
      <c r="A16" s="524"/>
      <c r="B16" s="165"/>
      <c r="C16" s="165"/>
      <c r="D16" s="165"/>
      <c r="E16" s="165"/>
      <c r="F16" s="165"/>
      <c r="G16" s="165"/>
      <c r="H16" s="163"/>
      <c r="I16" s="163"/>
      <c r="J16" s="163"/>
      <c r="K16" s="163"/>
      <c r="L16" s="163"/>
      <c r="M16" s="163"/>
      <c r="N16" s="163"/>
      <c r="O16" s="163"/>
      <c r="P16" s="163"/>
      <c r="Q16" s="163"/>
      <c r="R16" s="163"/>
      <c r="S16" s="163"/>
      <c r="T16" s="163"/>
      <c r="U16" s="163"/>
      <c r="V16" s="165"/>
      <c r="W16" s="165"/>
      <c r="X16" s="160"/>
    </row>
    <row r="17" spans="1:24" s="112" customFormat="1" ht="18" customHeight="1">
      <c r="A17" s="524"/>
      <c r="B17" s="165"/>
      <c r="C17" s="165"/>
      <c r="D17" s="165"/>
      <c r="E17" s="165"/>
      <c r="F17" s="165"/>
      <c r="G17" s="180"/>
      <c r="H17" s="604" t="s">
        <v>217</v>
      </c>
      <c r="I17" s="604"/>
      <c r="J17" s="604"/>
      <c r="K17" s="113"/>
      <c r="L17" s="145"/>
      <c r="M17" s="180"/>
      <c r="N17" s="162" t="s">
        <v>218</v>
      </c>
      <c r="O17" s="162"/>
      <c r="P17" s="162"/>
      <c r="Q17" s="162"/>
      <c r="R17" s="163"/>
      <c r="S17" s="163"/>
      <c r="T17" s="163"/>
      <c r="U17" s="163"/>
      <c r="V17" s="165"/>
      <c r="W17" s="165"/>
      <c r="X17" s="160"/>
    </row>
    <row r="18" spans="1:24" s="112" customFormat="1" ht="9" customHeight="1">
      <c r="A18" s="524"/>
      <c r="B18" s="165"/>
      <c r="C18" s="165"/>
      <c r="D18" s="165"/>
      <c r="E18" s="165"/>
      <c r="F18" s="165"/>
      <c r="G18" s="165"/>
      <c r="H18" s="163"/>
      <c r="I18" s="163"/>
      <c r="J18" s="163"/>
      <c r="K18" s="163"/>
      <c r="L18" s="163"/>
      <c r="M18" s="163"/>
      <c r="N18" s="163"/>
      <c r="O18" s="163"/>
      <c r="P18" s="163"/>
      <c r="Q18" s="163"/>
      <c r="R18" s="163"/>
      <c r="S18" s="163"/>
      <c r="T18" s="163"/>
      <c r="U18" s="163"/>
      <c r="V18" s="165"/>
      <c r="W18" s="165"/>
      <c r="X18" s="160"/>
    </row>
    <row r="19" spans="1:24" s="112" customFormat="1" ht="18" customHeight="1">
      <c r="A19" s="524"/>
      <c r="B19" s="165"/>
      <c r="C19" s="165"/>
      <c r="D19" s="165"/>
      <c r="E19" s="165"/>
      <c r="F19" s="165"/>
      <c r="G19" s="180"/>
      <c r="H19" s="604" t="s">
        <v>219</v>
      </c>
      <c r="I19" s="604"/>
      <c r="J19" s="604"/>
      <c r="K19" s="604"/>
      <c r="L19" s="604"/>
      <c r="M19" s="604"/>
      <c r="N19" s="604"/>
      <c r="O19" s="163"/>
      <c r="P19" s="116"/>
      <c r="Q19" s="113"/>
      <c r="R19" s="113"/>
      <c r="S19" s="113"/>
      <c r="T19" s="113"/>
      <c r="U19" s="113"/>
      <c r="V19" s="165"/>
      <c r="W19" s="165"/>
      <c r="X19" s="160"/>
    </row>
    <row r="20" spans="1:24" s="112" customFormat="1" ht="9" customHeight="1">
      <c r="A20" s="524"/>
      <c r="B20" s="128"/>
      <c r="C20" s="161"/>
      <c r="D20" s="116"/>
      <c r="E20" s="110"/>
      <c r="F20" s="110"/>
      <c r="G20" s="110"/>
      <c r="H20" s="110"/>
      <c r="I20" s="110"/>
      <c r="J20" s="110"/>
      <c r="K20" s="116"/>
      <c r="L20" s="110"/>
      <c r="M20" s="110"/>
      <c r="N20" s="110"/>
      <c r="O20" s="110"/>
      <c r="P20" s="110"/>
      <c r="Q20" s="110"/>
      <c r="R20" s="110"/>
      <c r="S20" s="110"/>
      <c r="T20" s="110"/>
      <c r="U20" s="110"/>
      <c r="V20" s="110"/>
      <c r="W20" s="110"/>
      <c r="X20" s="129"/>
    </row>
    <row r="21" spans="1:24" s="112" customFormat="1" ht="18" customHeight="1">
      <c r="A21" s="524"/>
      <c r="B21" s="108" t="s">
        <v>220</v>
      </c>
      <c r="C21" s="604"/>
      <c r="D21" s="604"/>
      <c r="E21" s="604"/>
      <c r="F21" s="606"/>
      <c r="G21" s="606"/>
      <c r="H21" s="606"/>
      <c r="I21" s="606"/>
      <c r="J21" s="606"/>
      <c r="K21" s="606"/>
      <c r="L21" s="606"/>
      <c r="M21" s="606"/>
      <c r="N21" s="606"/>
      <c r="O21" s="606"/>
      <c r="P21" s="606"/>
      <c r="Q21" s="606"/>
      <c r="R21" s="606"/>
      <c r="S21" s="606"/>
      <c r="T21" s="606"/>
      <c r="U21" s="606"/>
      <c r="V21" s="606"/>
      <c r="W21" s="606"/>
      <c r="X21" s="607"/>
    </row>
    <row r="22" spans="1:24" s="112" customFormat="1" ht="19.5" customHeight="1">
      <c r="A22" s="524"/>
      <c r="B22" s="608"/>
      <c r="C22" s="608"/>
      <c r="D22" s="608"/>
      <c r="E22" s="608"/>
      <c r="F22" s="508" t="s">
        <v>221</v>
      </c>
      <c r="G22" s="508"/>
      <c r="H22" s="508"/>
      <c r="J22" s="608" t="s">
        <v>134</v>
      </c>
      <c r="K22" s="608"/>
      <c r="L22" s="608"/>
      <c r="M22" s="608"/>
      <c r="N22" s="608"/>
      <c r="O22" s="609" t="s">
        <v>222</v>
      </c>
      <c r="P22" s="609"/>
      <c r="Q22" s="609"/>
      <c r="R22" s="609"/>
      <c r="S22" s="609"/>
      <c r="T22" s="609"/>
      <c r="U22" s="609"/>
      <c r="V22" s="609"/>
      <c r="W22" s="609"/>
      <c r="X22" s="130"/>
    </row>
    <row r="23" spans="1:24" s="112" customFormat="1" ht="18" customHeight="1">
      <c r="A23" s="524"/>
      <c r="B23" s="504" t="s">
        <v>223</v>
      </c>
      <c r="C23" s="504"/>
      <c r="D23" s="504"/>
      <c r="E23" s="504"/>
      <c r="F23" s="180"/>
      <c r="G23" s="610" t="s">
        <v>224</v>
      </c>
      <c r="H23" s="615"/>
      <c r="I23" s="615"/>
      <c r="J23" s="590"/>
      <c r="K23" s="590"/>
      <c r="L23" s="590"/>
      <c r="M23" s="590"/>
      <c r="N23" s="590"/>
      <c r="O23" s="590"/>
      <c r="P23" s="590"/>
      <c r="Q23" s="590"/>
      <c r="R23" s="590"/>
      <c r="S23" s="590"/>
      <c r="T23" s="590"/>
      <c r="U23" s="590"/>
      <c r="V23" s="590"/>
      <c r="W23" s="590"/>
      <c r="X23" s="594"/>
    </row>
    <row r="24" spans="1:24" s="112" customFormat="1" ht="18" customHeight="1">
      <c r="A24" s="524"/>
      <c r="B24" s="504" t="s">
        <v>225</v>
      </c>
      <c r="C24" s="504"/>
      <c r="D24" s="504"/>
      <c r="E24" s="504"/>
      <c r="F24" s="178"/>
      <c r="G24" s="610" t="s">
        <v>226</v>
      </c>
      <c r="H24" s="611"/>
      <c r="I24" s="611"/>
      <c r="J24" s="586"/>
      <c r="K24" s="586"/>
      <c r="L24" s="586"/>
      <c r="M24" s="586"/>
      <c r="N24" s="586"/>
      <c r="O24" s="586"/>
      <c r="P24" s="586"/>
      <c r="Q24" s="586"/>
      <c r="R24" s="586"/>
      <c r="S24" s="586"/>
      <c r="T24" s="586"/>
      <c r="U24" s="586"/>
      <c r="V24" s="586"/>
      <c r="W24" s="586"/>
      <c r="X24" s="594"/>
    </row>
    <row r="25" spans="1:24" s="112" customFormat="1" ht="18" customHeight="1">
      <c r="A25" s="524"/>
      <c r="B25" s="167" t="s">
        <v>227</v>
      </c>
      <c r="C25" s="167"/>
      <c r="D25" s="167"/>
      <c r="E25" s="167"/>
      <c r="F25" s="178"/>
      <c r="G25" s="610" t="s">
        <v>226</v>
      </c>
      <c r="H25" s="611"/>
      <c r="I25" s="611"/>
      <c r="J25" s="586"/>
      <c r="K25" s="586"/>
      <c r="L25" s="586"/>
      <c r="M25" s="586"/>
      <c r="N25" s="586"/>
      <c r="O25" s="586"/>
      <c r="P25" s="586"/>
      <c r="Q25" s="586"/>
      <c r="R25" s="586"/>
      <c r="S25" s="586"/>
      <c r="T25" s="586"/>
      <c r="U25" s="586"/>
      <c r="V25" s="586"/>
      <c r="W25" s="586"/>
      <c r="X25" s="594"/>
    </row>
    <row r="26" spans="1:24" s="112" customFormat="1" ht="18" customHeight="1">
      <c r="A26" s="524"/>
      <c r="B26" s="504" t="s">
        <v>228</v>
      </c>
      <c r="C26" s="504"/>
      <c r="D26" s="504"/>
      <c r="E26" s="504"/>
      <c r="F26" s="178"/>
      <c r="G26" s="610" t="s">
        <v>229</v>
      </c>
      <c r="H26" s="611"/>
      <c r="I26" s="611"/>
      <c r="J26" s="586"/>
      <c r="K26" s="586"/>
      <c r="L26" s="586"/>
      <c r="M26" s="586"/>
      <c r="N26" s="586"/>
      <c r="O26" s="586"/>
      <c r="P26" s="586"/>
      <c r="Q26" s="586"/>
      <c r="R26" s="586"/>
      <c r="S26" s="586"/>
      <c r="T26" s="586"/>
      <c r="U26" s="586"/>
      <c r="V26" s="586"/>
      <c r="W26" s="586"/>
      <c r="X26" s="594"/>
    </row>
    <row r="27" spans="1:24" s="112" customFormat="1" ht="18" customHeight="1">
      <c r="A27" s="524"/>
      <c r="B27" s="504" t="s">
        <v>230</v>
      </c>
      <c r="C27" s="504"/>
      <c r="D27" s="504"/>
      <c r="E27" s="504"/>
      <c r="F27" s="178"/>
      <c r="G27" s="584" t="s">
        <v>231</v>
      </c>
      <c r="H27" s="585"/>
      <c r="I27" s="585"/>
      <c r="J27" s="586"/>
      <c r="K27" s="586"/>
      <c r="L27" s="586"/>
      <c r="M27" s="586"/>
      <c r="N27" s="586"/>
      <c r="O27" s="586"/>
      <c r="P27" s="586"/>
      <c r="Q27" s="586"/>
      <c r="R27" s="586"/>
      <c r="S27" s="586"/>
      <c r="T27" s="586"/>
      <c r="U27" s="586"/>
      <c r="V27" s="586"/>
      <c r="W27" s="586"/>
      <c r="X27" s="594"/>
    </row>
    <row r="28" spans="1:24" s="112" customFormat="1" ht="9" customHeight="1">
      <c r="A28" s="524"/>
      <c r="B28" s="587"/>
      <c r="C28" s="587"/>
      <c r="D28" s="587"/>
      <c r="E28" s="587"/>
      <c r="F28" s="587"/>
      <c r="G28" s="587"/>
      <c r="H28" s="587"/>
      <c r="I28" s="587"/>
      <c r="J28" s="587"/>
      <c r="K28" s="587"/>
      <c r="L28" s="587"/>
      <c r="M28" s="587"/>
      <c r="N28" s="587"/>
      <c r="O28" s="587"/>
      <c r="P28" s="587"/>
      <c r="Q28" s="587"/>
      <c r="R28" s="587"/>
      <c r="S28" s="587"/>
      <c r="T28" s="587"/>
      <c r="U28" s="587"/>
      <c r="V28" s="587"/>
      <c r="W28" s="587"/>
      <c r="X28" s="588"/>
    </row>
    <row r="29" spans="1:24" s="112" customFormat="1" ht="18" customHeight="1">
      <c r="A29" s="524"/>
      <c r="B29" s="589" t="s">
        <v>232</v>
      </c>
      <c r="C29" s="589"/>
      <c r="D29" s="589"/>
      <c r="E29" s="589"/>
      <c r="F29" s="589"/>
      <c r="G29" s="589"/>
      <c r="H29" s="590"/>
      <c r="I29" s="590"/>
      <c r="J29" s="590"/>
      <c r="K29" s="590"/>
      <c r="L29" s="590"/>
      <c r="M29" s="590"/>
      <c r="N29" s="590"/>
      <c r="O29" s="590"/>
      <c r="P29" s="590"/>
      <c r="Q29" s="590"/>
      <c r="R29" s="590"/>
      <c r="S29" s="590"/>
      <c r="T29" s="590"/>
      <c r="U29" s="590"/>
      <c r="V29" s="590"/>
      <c r="W29" s="590"/>
      <c r="X29" s="131"/>
    </row>
    <row r="30" spans="1:24" s="112" customFormat="1" ht="4.5" customHeight="1" thickBot="1">
      <c r="A30" s="633"/>
      <c r="B30" s="591"/>
      <c r="C30" s="591"/>
      <c r="D30" s="591"/>
      <c r="E30" s="591"/>
      <c r="F30" s="591"/>
      <c r="G30" s="591"/>
      <c r="H30" s="592"/>
      <c r="I30" s="591"/>
      <c r="J30" s="591"/>
      <c r="K30" s="591"/>
      <c r="L30" s="591"/>
      <c r="M30" s="591"/>
      <c r="N30" s="591"/>
      <c r="O30" s="591"/>
      <c r="P30" s="591"/>
      <c r="Q30" s="591"/>
      <c r="R30" s="591"/>
      <c r="S30" s="591"/>
      <c r="T30" s="591"/>
      <c r="U30" s="591"/>
      <c r="V30" s="591"/>
      <c r="W30" s="591"/>
      <c r="X30" s="593"/>
    </row>
    <row r="31" spans="1:24" s="112" customFormat="1" ht="4.5" customHeight="1">
      <c r="A31" s="595"/>
      <c r="B31" s="596"/>
      <c r="C31" s="596"/>
      <c r="D31" s="596"/>
      <c r="E31" s="596"/>
      <c r="F31" s="596"/>
      <c r="G31" s="596"/>
      <c r="H31" s="596"/>
      <c r="I31" s="596"/>
      <c r="J31" s="596"/>
      <c r="K31" s="596"/>
      <c r="L31" s="596"/>
      <c r="M31" s="596"/>
      <c r="N31" s="596"/>
      <c r="O31" s="596"/>
      <c r="P31" s="596"/>
      <c r="Q31" s="596"/>
      <c r="R31" s="596"/>
      <c r="S31" s="596"/>
      <c r="T31" s="596"/>
      <c r="U31" s="596"/>
      <c r="V31" s="596"/>
      <c r="W31" s="596"/>
      <c r="X31" s="597"/>
    </row>
    <row r="32" spans="1:24" s="117" customFormat="1" ht="18" customHeight="1">
      <c r="A32" s="164">
        <v>3</v>
      </c>
      <c r="B32" s="589" t="s">
        <v>233</v>
      </c>
      <c r="C32" s="589"/>
      <c r="D32" s="589"/>
      <c r="E32" s="589"/>
      <c r="F32" s="589"/>
      <c r="G32" s="589"/>
      <c r="H32" s="180"/>
      <c r="I32" s="589"/>
      <c r="J32" s="598"/>
      <c r="K32" s="598"/>
      <c r="L32" s="598"/>
      <c r="M32" s="598"/>
      <c r="N32" s="598"/>
      <c r="O32" s="598"/>
      <c r="P32" s="598"/>
      <c r="Q32" s="598"/>
      <c r="R32" s="598"/>
      <c r="S32" s="598"/>
      <c r="T32" s="598"/>
      <c r="U32" s="598"/>
      <c r="V32" s="598"/>
      <c r="W32" s="598"/>
      <c r="X32" s="599"/>
    </row>
    <row r="33" spans="1:24" s="117" customFormat="1" ht="4.5" customHeight="1" thickBot="1">
      <c r="A33" s="132"/>
      <c r="B33" s="600"/>
      <c r="C33" s="600"/>
      <c r="D33" s="600"/>
      <c r="E33" s="600"/>
      <c r="F33" s="600"/>
      <c r="G33" s="600"/>
      <c r="H33" s="600"/>
      <c r="I33" s="600"/>
      <c r="J33" s="600"/>
      <c r="K33" s="600"/>
      <c r="L33" s="600"/>
      <c r="M33" s="600"/>
      <c r="N33" s="600"/>
      <c r="O33" s="600"/>
      <c r="P33" s="600"/>
      <c r="Q33" s="600"/>
      <c r="R33" s="600"/>
      <c r="S33" s="600"/>
      <c r="T33" s="600"/>
      <c r="U33" s="600"/>
      <c r="V33" s="600"/>
      <c r="W33" s="600"/>
      <c r="X33" s="601"/>
    </row>
    <row r="34" spans="1:24" s="117" customFormat="1" ht="21" customHeight="1">
      <c r="A34" s="168">
        <v>4</v>
      </c>
      <c r="B34" s="133" t="s">
        <v>134</v>
      </c>
      <c r="C34" s="579" t="s">
        <v>234</v>
      </c>
      <c r="D34" s="580"/>
      <c r="E34" s="580"/>
      <c r="F34" s="580"/>
      <c r="G34" s="580"/>
      <c r="H34" s="580"/>
      <c r="I34" s="580"/>
      <c r="J34" s="580"/>
      <c r="K34" s="580"/>
      <c r="L34" s="580"/>
      <c r="M34" s="580"/>
      <c r="N34" s="580"/>
      <c r="O34" s="581" t="s">
        <v>235</v>
      </c>
      <c r="P34" s="581"/>
      <c r="Q34" s="581"/>
      <c r="R34" s="581"/>
      <c r="S34" s="581"/>
      <c r="T34" s="581"/>
      <c r="U34" s="582" t="s">
        <v>236</v>
      </c>
      <c r="V34" s="582"/>
      <c r="W34" s="582"/>
      <c r="X34" s="583"/>
    </row>
    <row r="35" spans="1:24" s="117" customFormat="1" ht="4.5" customHeight="1">
      <c r="A35" s="134"/>
      <c r="B35" s="119"/>
      <c r="C35" s="135"/>
      <c r="D35" s="119"/>
      <c r="E35" s="119"/>
      <c r="F35" s="119"/>
      <c r="G35" s="119"/>
      <c r="H35" s="119"/>
      <c r="I35" s="119"/>
      <c r="J35" s="119"/>
      <c r="K35" s="119"/>
      <c r="L35" s="119"/>
      <c r="M35" s="119"/>
      <c r="N35" s="119"/>
      <c r="O35" s="571"/>
      <c r="P35" s="571"/>
      <c r="Q35" s="571"/>
      <c r="R35" s="571"/>
      <c r="S35" s="571"/>
      <c r="T35" s="571"/>
      <c r="U35" s="574"/>
      <c r="V35" s="574"/>
      <c r="W35" s="574"/>
      <c r="X35" s="575"/>
    </row>
    <row r="36" spans="1:24" s="117" customFormat="1" ht="27.75">
      <c r="A36" s="134"/>
      <c r="B36" s="120"/>
      <c r="C36" s="576" t="s">
        <v>237</v>
      </c>
      <c r="D36" s="555"/>
      <c r="E36" s="555"/>
      <c r="F36" s="555"/>
      <c r="G36" s="555"/>
      <c r="H36" s="555"/>
      <c r="I36" s="555"/>
      <c r="J36" s="555"/>
      <c r="K36" s="555"/>
      <c r="L36" s="555"/>
      <c r="M36" s="555"/>
      <c r="N36" s="556"/>
      <c r="O36" s="557"/>
      <c r="P36" s="558"/>
      <c r="Q36" s="121" t="s">
        <v>238</v>
      </c>
      <c r="R36" s="557"/>
      <c r="S36" s="558"/>
      <c r="T36" s="136" t="s">
        <v>128</v>
      </c>
      <c r="U36" s="577">
        <f>O36-R36</f>
        <v>0</v>
      </c>
      <c r="V36" s="578"/>
      <c r="W36" s="578"/>
      <c r="X36" s="137" t="s">
        <v>128</v>
      </c>
    </row>
    <row r="37" spans="1:24" s="117" customFormat="1" ht="4.5" customHeight="1">
      <c r="A37" s="134"/>
      <c r="B37" s="120"/>
      <c r="C37" s="562"/>
      <c r="D37" s="563"/>
      <c r="E37" s="563"/>
      <c r="F37" s="563"/>
      <c r="G37" s="563"/>
      <c r="H37" s="563"/>
      <c r="I37" s="563"/>
      <c r="J37" s="563"/>
      <c r="K37" s="563"/>
      <c r="L37" s="563"/>
      <c r="M37" s="563"/>
      <c r="N37" s="563"/>
      <c r="O37" s="563"/>
      <c r="P37" s="563"/>
      <c r="Q37" s="563"/>
      <c r="R37" s="563"/>
      <c r="S37" s="563"/>
      <c r="T37" s="563"/>
      <c r="U37" s="563"/>
      <c r="V37" s="563"/>
      <c r="W37" s="563"/>
      <c r="X37" s="564"/>
    </row>
    <row r="38" spans="1:24" s="117" customFormat="1" ht="4.5" customHeight="1">
      <c r="A38" s="134"/>
      <c r="B38" s="120"/>
      <c r="C38" s="566"/>
      <c r="D38" s="566"/>
      <c r="E38" s="566"/>
      <c r="F38" s="566"/>
      <c r="G38" s="566"/>
      <c r="H38" s="566"/>
      <c r="I38" s="566"/>
      <c r="J38" s="566"/>
      <c r="K38" s="566"/>
      <c r="L38" s="566"/>
      <c r="M38" s="566"/>
      <c r="N38" s="566"/>
      <c r="O38" s="566"/>
      <c r="P38" s="566"/>
      <c r="Q38" s="566"/>
      <c r="R38" s="566"/>
      <c r="S38" s="566"/>
      <c r="T38" s="566"/>
      <c r="U38" s="566"/>
      <c r="V38" s="566"/>
      <c r="W38" s="566"/>
      <c r="X38" s="567"/>
    </row>
    <row r="39" spans="1:24" s="117" customFormat="1" ht="21" customHeight="1">
      <c r="A39" s="164"/>
      <c r="B39" s="118"/>
      <c r="C39" s="568" t="s">
        <v>239</v>
      </c>
      <c r="D39" s="569"/>
      <c r="E39" s="569"/>
      <c r="F39" s="569"/>
      <c r="G39" s="569"/>
      <c r="H39" s="569"/>
      <c r="I39" s="569"/>
      <c r="J39" s="569"/>
      <c r="K39" s="569"/>
      <c r="L39" s="569"/>
      <c r="M39" s="569"/>
      <c r="N39" s="569"/>
      <c r="O39" s="570" t="s">
        <v>235</v>
      </c>
      <c r="P39" s="570"/>
      <c r="Q39" s="570"/>
      <c r="R39" s="570"/>
      <c r="S39" s="570"/>
      <c r="T39" s="570"/>
      <c r="U39" s="572" t="s">
        <v>236</v>
      </c>
      <c r="V39" s="572"/>
      <c r="W39" s="572"/>
      <c r="X39" s="573"/>
    </row>
    <row r="40" spans="1:24" s="120" customFormat="1" ht="4.5" customHeight="1">
      <c r="A40" s="134"/>
      <c r="B40" s="119"/>
      <c r="C40" s="135"/>
      <c r="D40" s="119"/>
      <c r="E40" s="119"/>
      <c r="F40" s="119"/>
      <c r="G40" s="119"/>
      <c r="H40" s="119"/>
      <c r="I40" s="119"/>
      <c r="J40" s="119"/>
      <c r="K40" s="119"/>
      <c r="L40" s="119"/>
      <c r="M40" s="119"/>
      <c r="N40" s="119"/>
      <c r="O40" s="571"/>
      <c r="P40" s="571"/>
      <c r="Q40" s="571"/>
      <c r="R40" s="571"/>
      <c r="S40" s="571"/>
      <c r="T40" s="571"/>
      <c r="U40" s="574"/>
      <c r="V40" s="574"/>
      <c r="W40" s="574"/>
      <c r="X40" s="575"/>
    </row>
    <row r="41" spans="1:24" s="117" customFormat="1" ht="27.75" customHeight="1">
      <c r="A41" s="134"/>
      <c r="B41" s="120"/>
      <c r="C41" s="554" t="s">
        <v>270</v>
      </c>
      <c r="D41" s="555"/>
      <c r="E41" s="555"/>
      <c r="F41" s="555"/>
      <c r="G41" s="555"/>
      <c r="H41" s="555"/>
      <c r="I41" s="555"/>
      <c r="J41" s="555"/>
      <c r="K41" s="555"/>
      <c r="L41" s="555"/>
      <c r="M41" s="555"/>
      <c r="N41" s="556"/>
      <c r="O41" s="557"/>
      <c r="P41" s="558"/>
      <c r="Q41" s="122" t="s">
        <v>160</v>
      </c>
      <c r="R41" s="559"/>
      <c r="S41" s="558"/>
      <c r="T41" s="138"/>
      <c r="U41" s="560">
        <f>O41*R41</f>
        <v>0</v>
      </c>
      <c r="V41" s="561"/>
      <c r="W41" s="561"/>
      <c r="X41" s="137" t="s">
        <v>24</v>
      </c>
    </row>
    <row r="42" spans="1:24" s="117" customFormat="1" ht="4.5" customHeight="1">
      <c r="A42" s="134"/>
      <c r="B42" s="120"/>
      <c r="C42" s="562"/>
      <c r="D42" s="563"/>
      <c r="E42" s="563"/>
      <c r="F42" s="563"/>
      <c r="G42" s="563"/>
      <c r="H42" s="563"/>
      <c r="I42" s="563"/>
      <c r="J42" s="563"/>
      <c r="K42" s="563"/>
      <c r="L42" s="563"/>
      <c r="M42" s="563"/>
      <c r="N42" s="563"/>
      <c r="O42" s="563"/>
      <c r="P42" s="563"/>
      <c r="Q42" s="563"/>
      <c r="R42" s="563"/>
      <c r="S42" s="563"/>
      <c r="T42" s="563"/>
      <c r="U42" s="563"/>
      <c r="V42" s="563"/>
      <c r="W42" s="563"/>
      <c r="X42" s="564"/>
    </row>
    <row r="43" spans="1:24" s="117" customFormat="1" ht="4.5" customHeight="1">
      <c r="A43" s="134"/>
      <c r="B43" s="120"/>
      <c r="C43" s="566"/>
      <c r="D43" s="566"/>
      <c r="E43" s="566"/>
      <c r="F43" s="566"/>
      <c r="G43" s="566"/>
      <c r="H43" s="566"/>
      <c r="I43" s="566"/>
      <c r="J43" s="566"/>
      <c r="K43" s="566"/>
      <c r="L43" s="566"/>
      <c r="M43" s="566"/>
      <c r="N43" s="566"/>
      <c r="O43" s="566"/>
      <c r="P43" s="566"/>
      <c r="Q43" s="566"/>
      <c r="R43" s="566"/>
      <c r="S43" s="566"/>
      <c r="T43" s="566"/>
      <c r="U43" s="566"/>
      <c r="V43" s="566"/>
      <c r="W43" s="566"/>
      <c r="X43" s="567"/>
    </row>
    <row r="44" spans="1:24" s="117" customFormat="1" ht="21" customHeight="1">
      <c r="A44" s="164"/>
      <c r="B44" s="118"/>
      <c r="C44" s="568" t="s">
        <v>240</v>
      </c>
      <c r="D44" s="569"/>
      <c r="E44" s="569"/>
      <c r="F44" s="569"/>
      <c r="G44" s="569"/>
      <c r="H44" s="569"/>
      <c r="I44" s="569"/>
      <c r="J44" s="569"/>
      <c r="K44" s="569"/>
      <c r="L44" s="569"/>
      <c r="M44" s="569"/>
      <c r="N44" s="569"/>
      <c r="O44" s="570" t="s">
        <v>235</v>
      </c>
      <c r="P44" s="570"/>
      <c r="Q44" s="570"/>
      <c r="R44" s="570"/>
      <c r="S44" s="570"/>
      <c r="T44" s="570"/>
      <c r="U44" s="572" t="s">
        <v>236</v>
      </c>
      <c r="V44" s="572"/>
      <c r="W44" s="572"/>
      <c r="X44" s="573"/>
    </row>
    <row r="45" spans="1:24" s="117" customFormat="1" ht="4.5" customHeight="1">
      <c r="A45" s="134"/>
      <c r="B45" s="119"/>
      <c r="C45" s="135"/>
      <c r="D45" s="119"/>
      <c r="E45" s="119"/>
      <c r="F45" s="119"/>
      <c r="G45" s="119"/>
      <c r="H45" s="119"/>
      <c r="I45" s="119"/>
      <c r="J45" s="119"/>
      <c r="K45" s="119"/>
      <c r="L45" s="119"/>
      <c r="M45" s="119"/>
      <c r="N45" s="119"/>
      <c r="O45" s="571"/>
      <c r="P45" s="571"/>
      <c r="Q45" s="571"/>
      <c r="R45" s="571"/>
      <c r="S45" s="571"/>
      <c r="T45" s="571"/>
      <c r="U45" s="574"/>
      <c r="V45" s="574"/>
      <c r="W45" s="574"/>
      <c r="X45" s="575"/>
    </row>
    <row r="46" spans="1:24" s="117" customFormat="1" ht="27.75" customHeight="1">
      <c r="A46" s="134"/>
      <c r="B46" s="120"/>
      <c r="C46" s="554" t="s">
        <v>270</v>
      </c>
      <c r="D46" s="555"/>
      <c r="E46" s="555"/>
      <c r="F46" s="555"/>
      <c r="G46" s="555"/>
      <c r="H46" s="555"/>
      <c r="I46" s="555"/>
      <c r="J46" s="555"/>
      <c r="K46" s="555"/>
      <c r="L46" s="555"/>
      <c r="M46" s="555"/>
      <c r="N46" s="556"/>
      <c r="O46" s="557"/>
      <c r="P46" s="558"/>
      <c r="Q46" s="122" t="s">
        <v>160</v>
      </c>
      <c r="R46" s="559"/>
      <c r="S46" s="558"/>
      <c r="T46" s="139"/>
      <c r="U46" s="560">
        <f>O46*R46</f>
        <v>0</v>
      </c>
      <c r="V46" s="561"/>
      <c r="W46" s="561"/>
      <c r="X46" s="140" t="s">
        <v>24</v>
      </c>
    </row>
    <row r="47" spans="1:24" s="117" customFormat="1" ht="4.5" customHeight="1">
      <c r="A47" s="134"/>
      <c r="B47" s="120"/>
      <c r="C47" s="562"/>
      <c r="D47" s="563"/>
      <c r="E47" s="563"/>
      <c r="F47" s="563"/>
      <c r="G47" s="563"/>
      <c r="H47" s="563"/>
      <c r="I47" s="563"/>
      <c r="J47" s="563"/>
      <c r="K47" s="563"/>
      <c r="L47" s="563"/>
      <c r="M47" s="563"/>
      <c r="N47" s="563"/>
      <c r="O47" s="563"/>
      <c r="P47" s="563"/>
      <c r="Q47" s="563"/>
      <c r="R47" s="563"/>
      <c r="S47" s="563"/>
      <c r="T47" s="563"/>
      <c r="U47" s="563"/>
      <c r="V47" s="563"/>
      <c r="W47" s="563"/>
      <c r="X47" s="564"/>
    </row>
    <row r="48" spans="1:24" s="117" customFormat="1" ht="4.5" customHeight="1">
      <c r="A48" s="134"/>
      <c r="B48" s="120"/>
      <c r="C48" s="565"/>
      <c r="D48" s="565"/>
      <c r="E48" s="565"/>
      <c r="F48" s="565"/>
      <c r="G48" s="565"/>
      <c r="H48" s="565"/>
      <c r="I48" s="565"/>
      <c r="J48" s="565"/>
      <c r="K48" s="565"/>
      <c r="L48" s="565"/>
      <c r="M48" s="565"/>
      <c r="N48" s="565"/>
      <c r="O48" s="565"/>
      <c r="P48" s="565"/>
      <c r="Q48" s="565"/>
      <c r="R48" s="565"/>
      <c r="S48" s="565"/>
      <c r="T48" s="565"/>
      <c r="U48" s="565"/>
      <c r="V48" s="565"/>
      <c r="W48" s="565"/>
      <c r="X48" s="141"/>
    </row>
    <row r="49" spans="1:24" s="117" customFormat="1" ht="18" customHeight="1">
      <c r="A49" s="524"/>
      <c r="B49" s="527" t="s">
        <v>241</v>
      </c>
      <c r="C49" s="528"/>
      <c r="D49" s="529"/>
      <c r="E49" s="529"/>
      <c r="F49" s="529"/>
      <c r="G49" s="529"/>
      <c r="H49" s="529"/>
      <c r="I49" s="529"/>
      <c r="J49" s="529"/>
      <c r="K49" s="529"/>
      <c r="L49" s="529"/>
      <c r="M49" s="529"/>
      <c r="N49" s="529"/>
      <c r="O49" s="529"/>
      <c r="P49" s="529"/>
      <c r="Q49" s="529"/>
      <c r="R49" s="529"/>
      <c r="S49" s="529"/>
      <c r="T49" s="529"/>
      <c r="U49" s="529"/>
      <c r="V49" s="529"/>
      <c r="W49" s="529"/>
      <c r="X49" s="530"/>
    </row>
    <row r="50" spans="1:24" s="117" customFormat="1" ht="18" customHeight="1">
      <c r="A50" s="524"/>
      <c r="B50" s="527"/>
      <c r="C50" s="531"/>
      <c r="D50" s="532"/>
      <c r="E50" s="532"/>
      <c r="F50" s="532"/>
      <c r="G50" s="532"/>
      <c r="H50" s="532"/>
      <c r="I50" s="532"/>
      <c r="J50" s="532"/>
      <c r="K50" s="532"/>
      <c r="L50" s="532"/>
      <c r="M50" s="532"/>
      <c r="N50" s="532"/>
      <c r="O50" s="532"/>
      <c r="P50" s="532"/>
      <c r="Q50" s="532"/>
      <c r="R50" s="532"/>
      <c r="S50" s="532"/>
      <c r="T50" s="532"/>
      <c r="U50" s="532"/>
      <c r="V50" s="532"/>
      <c r="W50" s="532"/>
      <c r="X50" s="533"/>
    </row>
    <row r="51" spans="1:24" s="117" customFormat="1" ht="21" customHeight="1">
      <c r="A51" s="524"/>
      <c r="B51" s="527"/>
      <c r="C51" s="534"/>
      <c r="D51" s="535"/>
      <c r="E51" s="535"/>
      <c r="F51" s="535"/>
      <c r="G51" s="535"/>
      <c r="H51" s="535"/>
      <c r="I51" s="535"/>
      <c r="J51" s="535"/>
      <c r="K51" s="535"/>
      <c r="L51" s="535"/>
      <c r="M51" s="535"/>
      <c r="N51" s="535"/>
      <c r="O51" s="535"/>
      <c r="P51" s="535"/>
      <c r="Q51" s="535"/>
      <c r="R51" s="535"/>
      <c r="S51" s="535"/>
      <c r="T51" s="535"/>
      <c r="U51" s="535"/>
      <c r="V51" s="535"/>
      <c r="W51" s="535"/>
      <c r="X51" s="536"/>
    </row>
    <row r="52" spans="1:24" s="117" customFormat="1" ht="4.5" customHeight="1">
      <c r="A52" s="524"/>
      <c r="B52" s="525"/>
      <c r="C52" s="525"/>
      <c r="D52" s="525"/>
      <c r="E52" s="525"/>
      <c r="F52" s="525"/>
      <c r="G52" s="525"/>
      <c r="H52" s="525"/>
      <c r="I52" s="525"/>
      <c r="J52" s="525"/>
      <c r="K52" s="525"/>
      <c r="L52" s="525"/>
      <c r="M52" s="525"/>
      <c r="N52" s="525"/>
      <c r="O52" s="525"/>
      <c r="P52" s="525"/>
      <c r="Q52" s="525"/>
      <c r="R52" s="525"/>
      <c r="S52" s="525"/>
      <c r="T52" s="525"/>
      <c r="U52" s="525"/>
      <c r="V52" s="525"/>
      <c r="W52" s="525"/>
      <c r="X52" s="526"/>
    </row>
    <row r="53" spans="1:24" s="117" customFormat="1" ht="18" customHeight="1">
      <c r="A53" s="524"/>
      <c r="B53" s="527" t="s">
        <v>242</v>
      </c>
      <c r="C53" s="528"/>
      <c r="D53" s="529"/>
      <c r="E53" s="529"/>
      <c r="F53" s="529"/>
      <c r="G53" s="529"/>
      <c r="H53" s="529"/>
      <c r="I53" s="529"/>
      <c r="J53" s="529"/>
      <c r="K53" s="529"/>
      <c r="L53" s="529"/>
      <c r="M53" s="529"/>
      <c r="N53" s="529"/>
      <c r="O53" s="529"/>
      <c r="P53" s="529"/>
      <c r="Q53" s="529"/>
      <c r="R53" s="529"/>
      <c r="S53" s="529"/>
      <c r="T53" s="529"/>
      <c r="U53" s="529"/>
      <c r="V53" s="529"/>
      <c r="W53" s="529"/>
      <c r="X53" s="530"/>
    </row>
    <row r="54" spans="1:24" s="117" customFormat="1" ht="18" customHeight="1">
      <c r="A54" s="524"/>
      <c r="B54" s="527"/>
      <c r="C54" s="531"/>
      <c r="D54" s="532"/>
      <c r="E54" s="532"/>
      <c r="F54" s="532"/>
      <c r="G54" s="532"/>
      <c r="H54" s="532"/>
      <c r="I54" s="532"/>
      <c r="J54" s="532"/>
      <c r="K54" s="532"/>
      <c r="L54" s="532"/>
      <c r="M54" s="532"/>
      <c r="N54" s="532"/>
      <c r="O54" s="532"/>
      <c r="P54" s="532"/>
      <c r="Q54" s="532"/>
      <c r="R54" s="532"/>
      <c r="S54" s="532"/>
      <c r="T54" s="532"/>
      <c r="U54" s="532"/>
      <c r="V54" s="532"/>
      <c r="W54" s="532"/>
      <c r="X54" s="533"/>
    </row>
    <row r="55" spans="1:24" s="117" customFormat="1" ht="21" customHeight="1">
      <c r="A55" s="524"/>
      <c r="B55" s="527"/>
      <c r="C55" s="534"/>
      <c r="D55" s="535"/>
      <c r="E55" s="535"/>
      <c r="F55" s="535"/>
      <c r="G55" s="535"/>
      <c r="H55" s="535"/>
      <c r="I55" s="535"/>
      <c r="J55" s="535"/>
      <c r="K55" s="535"/>
      <c r="L55" s="535"/>
      <c r="M55" s="535"/>
      <c r="N55" s="535"/>
      <c r="O55" s="535"/>
      <c r="P55" s="535"/>
      <c r="Q55" s="535"/>
      <c r="R55" s="535"/>
      <c r="S55" s="535"/>
      <c r="T55" s="535"/>
      <c r="U55" s="535"/>
      <c r="V55" s="535"/>
      <c r="W55" s="535"/>
      <c r="X55" s="536"/>
    </row>
    <row r="56" spans="1:24" s="117" customFormat="1" ht="4.5" customHeight="1">
      <c r="A56" s="524"/>
      <c r="B56" s="525"/>
      <c r="C56" s="525"/>
      <c r="D56" s="525"/>
      <c r="E56" s="525"/>
      <c r="F56" s="525"/>
      <c r="G56" s="525"/>
      <c r="H56" s="525"/>
      <c r="I56" s="525"/>
      <c r="J56" s="525"/>
      <c r="K56" s="525"/>
      <c r="L56" s="525"/>
      <c r="M56" s="525"/>
      <c r="N56" s="525"/>
      <c r="O56" s="525"/>
      <c r="P56" s="525"/>
      <c r="Q56" s="525"/>
      <c r="R56" s="525"/>
      <c r="S56" s="525"/>
      <c r="T56" s="525"/>
      <c r="U56" s="525"/>
      <c r="V56" s="525"/>
      <c r="W56" s="525"/>
      <c r="X56" s="526"/>
    </row>
    <row r="57" spans="1:24" s="117" customFormat="1" ht="18" customHeight="1">
      <c r="A57" s="524"/>
      <c r="B57" s="527" t="s">
        <v>243</v>
      </c>
      <c r="C57" s="528"/>
      <c r="D57" s="529"/>
      <c r="E57" s="529"/>
      <c r="F57" s="529"/>
      <c r="G57" s="529"/>
      <c r="H57" s="529"/>
      <c r="I57" s="529"/>
      <c r="J57" s="529"/>
      <c r="K57" s="529"/>
      <c r="L57" s="529"/>
      <c r="M57" s="529"/>
      <c r="N57" s="529"/>
      <c r="O57" s="529"/>
      <c r="P57" s="529"/>
      <c r="Q57" s="529"/>
      <c r="R57" s="529"/>
      <c r="S57" s="529"/>
      <c r="T57" s="529"/>
      <c r="U57" s="529"/>
      <c r="V57" s="529"/>
      <c r="W57" s="529"/>
      <c r="X57" s="530"/>
    </row>
    <row r="58" spans="1:24" s="117" customFormat="1" ht="18" customHeight="1">
      <c r="A58" s="524"/>
      <c r="B58" s="527"/>
      <c r="C58" s="531"/>
      <c r="D58" s="532"/>
      <c r="E58" s="532"/>
      <c r="F58" s="532"/>
      <c r="G58" s="532"/>
      <c r="H58" s="532"/>
      <c r="I58" s="532"/>
      <c r="J58" s="532"/>
      <c r="K58" s="532"/>
      <c r="L58" s="532"/>
      <c r="M58" s="532"/>
      <c r="N58" s="532"/>
      <c r="O58" s="532"/>
      <c r="P58" s="532"/>
      <c r="Q58" s="532"/>
      <c r="R58" s="532"/>
      <c r="S58" s="532"/>
      <c r="T58" s="532"/>
      <c r="U58" s="532"/>
      <c r="V58" s="532"/>
      <c r="W58" s="532"/>
      <c r="X58" s="533"/>
    </row>
    <row r="59" spans="1:24" s="117" customFormat="1" ht="21" customHeight="1">
      <c r="A59" s="524"/>
      <c r="B59" s="527"/>
      <c r="C59" s="534"/>
      <c r="D59" s="535"/>
      <c r="E59" s="535"/>
      <c r="F59" s="535"/>
      <c r="G59" s="535"/>
      <c r="H59" s="535"/>
      <c r="I59" s="535"/>
      <c r="J59" s="535"/>
      <c r="K59" s="535"/>
      <c r="L59" s="535"/>
      <c r="M59" s="535"/>
      <c r="N59" s="535"/>
      <c r="O59" s="535"/>
      <c r="P59" s="535"/>
      <c r="Q59" s="535"/>
      <c r="R59" s="535"/>
      <c r="S59" s="535"/>
      <c r="T59" s="535"/>
      <c r="U59" s="535"/>
      <c r="V59" s="535"/>
      <c r="W59" s="535"/>
      <c r="X59" s="536"/>
    </row>
    <row r="60" spans="1:24" s="117" customFormat="1" ht="4.5" customHeight="1" thickBot="1">
      <c r="A60" s="142"/>
      <c r="B60" s="493"/>
      <c r="C60" s="493"/>
      <c r="D60" s="493"/>
      <c r="E60" s="493"/>
      <c r="F60" s="493"/>
      <c r="G60" s="493"/>
      <c r="H60" s="493"/>
      <c r="I60" s="493"/>
      <c r="J60" s="493"/>
      <c r="K60" s="493"/>
      <c r="L60" s="493"/>
      <c r="M60" s="493"/>
      <c r="N60" s="493"/>
      <c r="O60" s="493"/>
      <c r="P60" s="493"/>
      <c r="Q60" s="493"/>
      <c r="R60" s="493"/>
      <c r="S60" s="493"/>
      <c r="T60" s="493"/>
      <c r="U60" s="493"/>
      <c r="V60" s="493"/>
      <c r="W60" s="493"/>
      <c r="X60" s="494"/>
    </row>
    <row r="61" spans="1:24" s="123" customFormat="1" ht="30.75" customHeight="1">
      <c r="A61" s="143">
        <v>5</v>
      </c>
      <c r="B61" s="495" t="s">
        <v>244</v>
      </c>
      <c r="C61" s="496"/>
      <c r="D61" s="496"/>
      <c r="E61" s="496"/>
      <c r="F61" s="496"/>
      <c r="G61" s="496"/>
      <c r="H61" s="496"/>
      <c r="I61" s="496"/>
      <c r="J61" s="496"/>
      <c r="K61" s="496"/>
      <c r="L61" s="496"/>
      <c r="M61" s="496"/>
      <c r="N61" s="496"/>
      <c r="O61" s="496"/>
      <c r="P61" s="496"/>
      <c r="Q61" s="496"/>
      <c r="R61" s="496"/>
      <c r="S61" s="496"/>
      <c r="T61" s="496"/>
      <c r="U61" s="496"/>
      <c r="V61" s="496"/>
      <c r="W61" s="496"/>
      <c r="X61" s="497"/>
    </row>
    <row r="62" spans="1:24" s="123" customFormat="1" ht="4.5" customHeight="1">
      <c r="A62" s="520"/>
      <c r="B62" s="537"/>
      <c r="C62" s="537"/>
      <c r="D62" s="537"/>
      <c r="E62" s="537"/>
      <c r="F62" s="537"/>
      <c r="G62" s="537"/>
      <c r="H62" s="537"/>
      <c r="I62" s="537"/>
      <c r="J62" s="537"/>
      <c r="K62" s="537"/>
      <c r="L62" s="537"/>
      <c r="M62" s="537"/>
      <c r="N62" s="537"/>
      <c r="O62" s="537"/>
      <c r="P62" s="537"/>
      <c r="Q62" s="537"/>
      <c r="R62" s="537"/>
      <c r="S62" s="537"/>
      <c r="T62" s="537"/>
      <c r="U62" s="537"/>
      <c r="V62" s="537"/>
      <c r="W62" s="537"/>
      <c r="X62" s="538"/>
    </row>
    <row r="63" spans="1:24" s="123" customFormat="1" ht="21" customHeight="1">
      <c r="A63" s="520"/>
      <c r="B63" s="539" t="s">
        <v>245</v>
      </c>
      <c r="C63" s="540"/>
      <c r="D63" s="540"/>
      <c r="E63" s="540"/>
      <c r="F63" s="540"/>
      <c r="G63" s="541"/>
      <c r="H63" s="542" t="s">
        <v>169</v>
      </c>
      <c r="I63" s="543"/>
      <c r="J63" s="543"/>
      <c r="K63" s="543"/>
      <c r="L63" s="544"/>
      <c r="M63" s="542" t="s">
        <v>132</v>
      </c>
      <c r="N63" s="545"/>
      <c r="O63" s="545"/>
      <c r="P63" s="545"/>
      <c r="Q63" s="546"/>
      <c r="R63" s="545" t="s">
        <v>246</v>
      </c>
      <c r="S63" s="545"/>
      <c r="T63" s="545"/>
      <c r="U63" s="545"/>
      <c r="V63" s="545"/>
      <c r="W63" s="545"/>
      <c r="X63" s="547"/>
    </row>
    <row r="64" spans="1:24" s="123" customFormat="1" ht="18" customHeight="1">
      <c r="A64" s="520"/>
      <c r="B64" s="548" t="s">
        <v>247</v>
      </c>
      <c r="C64" s="549"/>
      <c r="D64" s="549"/>
      <c r="E64" s="550"/>
      <c r="F64" s="127"/>
      <c r="G64" s="551"/>
      <c r="H64" s="516"/>
      <c r="I64" s="517"/>
      <c r="J64" s="517"/>
      <c r="K64" s="517"/>
      <c r="L64" s="518"/>
      <c r="M64" s="498"/>
      <c r="N64" s="499"/>
      <c r="O64" s="499"/>
      <c r="P64" s="499"/>
      <c r="Q64" s="500"/>
      <c r="R64" s="519"/>
      <c r="S64" s="501"/>
      <c r="T64" s="501"/>
      <c r="U64" s="501"/>
      <c r="V64" s="501"/>
      <c r="W64" s="501"/>
      <c r="X64" s="502"/>
    </row>
    <row r="65" spans="1:24" s="123" customFormat="1" ht="18" customHeight="1">
      <c r="A65" s="520"/>
      <c r="B65" s="503" t="s">
        <v>248</v>
      </c>
      <c r="C65" s="504"/>
      <c r="D65" s="504"/>
      <c r="E65" s="505"/>
      <c r="F65" s="127"/>
      <c r="G65" s="552"/>
      <c r="H65" s="516"/>
      <c r="I65" s="517"/>
      <c r="J65" s="517"/>
      <c r="K65" s="517"/>
      <c r="L65" s="518"/>
      <c r="M65" s="498"/>
      <c r="N65" s="499"/>
      <c r="O65" s="499"/>
      <c r="P65" s="499"/>
      <c r="Q65" s="500"/>
      <c r="R65" s="501"/>
      <c r="S65" s="501"/>
      <c r="T65" s="501"/>
      <c r="U65" s="501"/>
      <c r="V65" s="501"/>
      <c r="W65" s="501"/>
      <c r="X65" s="502"/>
    </row>
    <row r="66" spans="1:24" s="123" customFormat="1" ht="18" customHeight="1">
      <c r="A66" s="520"/>
      <c r="B66" s="503" t="s">
        <v>249</v>
      </c>
      <c r="C66" s="504"/>
      <c r="D66" s="504"/>
      <c r="E66" s="505"/>
      <c r="F66" s="127"/>
      <c r="G66" s="552"/>
      <c r="H66" s="516"/>
      <c r="I66" s="517"/>
      <c r="J66" s="517"/>
      <c r="K66" s="517"/>
      <c r="L66" s="518"/>
      <c r="M66" s="498"/>
      <c r="N66" s="499"/>
      <c r="O66" s="499"/>
      <c r="P66" s="499"/>
      <c r="Q66" s="500"/>
      <c r="R66" s="501"/>
      <c r="S66" s="501"/>
      <c r="T66" s="501"/>
      <c r="U66" s="501"/>
      <c r="V66" s="501"/>
      <c r="W66" s="501"/>
      <c r="X66" s="502"/>
    </row>
    <row r="67" spans="1:24" s="123" customFormat="1" ht="18" customHeight="1">
      <c r="A67" s="520"/>
      <c r="B67" s="503" t="s">
        <v>250</v>
      </c>
      <c r="C67" s="504"/>
      <c r="D67" s="504"/>
      <c r="E67" s="505"/>
      <c r="F67" s="127"/>
      <c r="G67" s="552"/>
      <c r="H67" s="516"/>
      <c r="I67" s="517"/>
      <c r="J67" s="517"/>
      <c r="K67" s="517"/>
      <c r="L67" s="518"/>
      <c r="M67" s="498"/>
      <c r="N67" s="499"/>
      <c r="O67" s="499"/>
      <c r="P67" s="499"/>
      <c r="Q67" s="500"/>
      <c r="R67" s="501"/>
      <c r="S67" s="501"/>
      <c r="T67" s="501"/>
      <c r="U67" s="501"/>
      <c r="V67" s="501"/>
      <c r="W67" s="501"/>
      <c r="X67" s="502"/>
    </row>
    <row r="68" spans="1:24" ht="18" customHeight="1">
      <c r="A68" s="520"/>
      <c r="B68" s="513" t="s">
        <v>251</v>
      </c>
      <c r="C68" s="514"/>
      <c r="D68" s="514"/>
      <c r="E68" s="515"/>
      <c r="F68" s="127"/>
      <c r="G68" s="553"/>
      <c r="H68" s="516"/>
      <c r="I68" s="517"/>
      <c r="J68" s="517"/>
      <c r="K68" s="517"/>
      <c r="L68" s="518"/>
      <c r="M68" s="498"/>
      <c r="N68" s="499"/>
      <c r="O68" s="499"/>
      <c r="P68" s="499"/>
      <c r="Q68" s="500"/>
      <c r="R68" s="501"/>
      <c r="S68" s="501"/>
      <c r="T68" s="501"/>
      <c r="U68" s="501"/>
      <c r="V68" s="501"/>
      <c r="W68" s="501"/>
      <c r="X68" s="502"/>
    </row>
    <row r="69" spans="1:24" ht="4.5" customHeight="1" thickBot="1">
      <c r="A69" s="521"/>
      <c r="B69" s="522"/>
      <c r="C69" s="522"/>
      <c r="D69" s="522"/>
      <c r="E69" s="522"/>
      <c r="F69" s="522"/>
      <c r="G69" s="522"/>
      <c r="H69" s="522"/>
      <c r="I69" s="522"/>
      <c r="J69" s="522"/>
      <c r="K69" s="522"/>
      <c r="L69" s="522"/>
      <c r="M69" s="522"/>
      <c r="N69" s="522"/>
      <c r="O69" s="522"/>
      <c r="P69" s="522"/>
      <c r="Q69" s="522"/>
      <c r="R69" s="522"/>
      <c r="S69" s="522"/>
      <c r="T69" s="522"/>
      <c r="U69" s="522"/>
      <c r="V69" s="522"/>
      <c r="W69" s="522"/>
      <c r="X69" s="523"/>
    </row>
    <row r="70" spans="1:24" ht="18" customHeight="1">
      <c r="A70" s="168">
        <v>6</v>
      </c>
      <c r="B70" s="490" t="s">
        <v>252</v>
      </c>
      <c r="C70" s="490"/>
      <c r="D70" s="490"/>
      <c r="E70" s="490"/>
      <c r="F70" s="490"/>
      <c r="G70" s="490"/>
      <c r="H70" s="490"/>
      <c r="I70" s="490"/>
      <c r="J70" s="490"/>
      <c r="K70" s="490"/>
      <c r="L70" s="490"/>
      <c r="M70" s="490"/>
      <c r="N70" s="490"/>
      <c r="O70" s="490"/>
      <c r="P70" s="490"/>
      <c r="Q70" s="490"/>
      <c r="R70" s="490"/>
      <c r="S70" s="490"/>
      <c r="T70" s="490"/>
      <c r="U70" s="490"/>
      <c r="V70" s="490"/>
      <c r="W70" s="490"/>
      <c r="X70" s="491"/>
    </row>
    <row r="71" spans="1:24" s="124" customFormat="1" ht="16.5" customHeight="1">
      <c r="A71" s="506"/>
      <c r="B71" s="508" t="s">
        <v>168</v>
      </c>
      <c r="C71" s="508"/>
      <c r="D71" s="508"/>
      <c r="E71" s="508"/>
      <c r="F71" s="508" t="s">
        <v>169</v>
      </c>
      <c r="G71" s="508"/>
      <c r="H71" s="508"/>
      <c r="I71" s="508"/>
      <c r="J71" s="508"/>
      <c r="K71" s="508"/>
      <c r="L71" s="508"/>
      <c r="M71" s="508"/>
      <c r="N71" s="508" t="s">
        <v>1023</v>
      </c>
      <c r="O71" s="508"/>
      <c r="P71" s="508"/>
      <c r="Q71" s="508"/>
      <c r="R71" s="508"/>
      <c r="S71" s="508"/>
      <c r="T71" s="508"/>
      <c r="U71" s="508"/>
      <c r="V71" s="508"/>
      <c r="W71" s="508"/>
      <c r="X71" s="509"/>
    </row>
    <row r="72" spans="1:24" s="124" customFormat="1" ht="16.5" customHeight="1">
      <c r="A72" s="506"/>
      <c r="B72" s="166"/>
      <c r="C72" s="166"/>
      <c r="D72" s="166"/>
      <c r="E72" s="166"/>
      <c r="F72" s="166"/>
      <c r="G72" s="166"/>
      <c r="H72" s="166"/>
      <c r="I72" s="166"/>
      <c r="J72" s="166"/>
      <c r="K72" s="166"/>
      <c r="L72" s="166"/>
      <c r="M72" s="166"/>
      <c r="N72" s="166"/>
      <c r="O72" s="166"/>
      <c r="P72" s="166"/>
      <c r="Q72" s="166"/>
      <c r="R72" s="166"/>
      <c r="S72" s="166"/>
      <c r="T72" s="166"/>
      <c r="U72" s="166"/>
      <c r="V72" s="166"/>
      <c r="W72" s="166"/>
      <c r="X72" s="169"/>
    </row>
    <row r="73" spans="1:24" ht="21" customHeight="1">
      <c r="A73" s="506"/>
      <c r="B73" s="492" t="str">
        <f>IF('4_Anzeichnungsprotokoll'!D84=0,"",'4_Anzeichnungsprotokoll'!D84)</f>
        <v/>
      </c>
      <c r="C73" s="492"/>
      <c r="D73" s="492"/>
      <c r="E73" s="492"/>
      <c r="F73" s="510">
        <f ca="1">TODAY()</f>
        <v>44857</v>
      </c>
      <c r="G73" s="510"/>
      <c r="H73" s="510"/>
      <c r="I73" s="510"/>
      <c r="J73" s="510"/>
      <c r="K73" s="510"/>
      <c r="L73" s="510"/>
      <c r="M73" s="109"/>
      <c r="N73" s="492" t="str">
        <f>'4_Anzeichnungsprotokoll'!X84</f>
        <v/>
      </c>
      <c r="O73" s="492"/>
      <c r="P73" s="492"/>
      <c r="Q73" s="492"/>
      <c r="R73" s="492"/>
      <c r="S73" s="492"/>
      <c r="T73" s="492"/>
      <c r="U73" s="492"/>
      <c r="V73" s="492"/>
      <c r="W73" s="492"/>
      <c r="X73" s="144"/>
    </row>
    <row r="74" spans="1:24" ht="7.5" customHeight="1" thickBot="1">
      <c r="A74" s="507"/>
      <c r="B74" s="511"/>
      <c r="C74" s="511"/>
      <c r="D74" s="511"/>
      <c r="E74" s="511"/>
      <c r="F74" s="511"/>
      <c r="G74" s="511"/>
      <c r="H74" s="511"/>
      <c r="I74" s="511"/>
      <c r="J74" s="511"/>
      <c r="K74" s="511"/>
      <c r="L74" s="511"/>
      <c r="M74" s="511"/>
      <c r="N74" s="511"/>
      <c r="O74" s="511"/>
      <c r="P74" s="511"/>
      <c r="Q74" s="511"/>
      <c r="R74" s="511"/>
      <c r="S74" s="511"/>
      <c r="T74" s="511"/>
      <c r="U74" s="511"/>
      <c r="V74" s="511"/>
      <c r="W74" s="511"/>
      <c r="X74" s="512"/>
    </row>
  </sheetData>
  <sheetProtection sheet="1" objects="1" selectLockedCells="1"/>
  <mergeCells count="135">
    <mergeCell ref="C1:S1"/>
    <mergeCell ref="C2:S2"/>
    <mergeCell ref="W11:X11"/>
    <mergeCell ref="B23:E23"/>
    <mergeCell ref="G23:I23"/>
    <mergeCell ref="J23:W23"/>
    <mergeCell ref="B15:C15"/>
    <mergeCell ref="A1:B2"/>
    <mergeCell ref="A3:N4"/>
    <mergeCell ref="O3:Q4"/>
    <mergeCell ref="R3:X4"/>
    <mergeCell ref="T2:X2"/>
    <mergeCell ref="T1:X1"/>
    <mergeCell ref="B5:X5"/>
    <mergeCell ref="A6:A8"/>
    <mergeCell ref="B6:X8"/>
    <mergeCell ref="B9:X9"/>
    <mergeCell ref="A10:A30"/>
    <mergeCell ref="B10:X10"/>
    <mergeCell ref="B11:D11"/>
    <mergeCell ref="E11:G11"/>
    <mergeCell ref="P11:S11"/>
    <mergeCell ref="T11:V11"/>
    <mergeCell ref="J25:W25"/>
    <mergeCell ref="B12:X12"/>
    <mergeCell ref="B13:C13"/>
    <mergeCell ref="H13:J13"/>
    <mergeCell ref="K13:L13"/>
    <mergeCell ref="N13:P13"/>
    <mergeCell ref="S13:V13"/>
    <mergeCell ref="B27:E27"/>
    <mergeCell ref="H15:J15"/>
    <mergeCell ref="H17:J17"/>
    <mergeCell ref="H19:N19"/>
    <mergeCell ref="C21:E21"/>
    <mergeCell ref="F21:X21"/>
    <mergeCell ref="B22:E22"/>
    <mergeCell ref="F22:H22"/>
    <mergeCell ref="J22:N22"/>
    <mergeCell ref="O22:W22"/>
    <mergeCell ref="B24:E24"/>
    <mergeCell ref="G24:I24"/>
    <mergeCell ref="J24:W24"/>
    <mergeCell ref="G25:I25"/>
    <mergeCell ref="B26:E26"/>
    <mergeCell ref="G26:I26"/>
    <mergeCell ref="J26:W26"/>
    <mergeCell ref="C34:N34"/>
    <mergeCell ref="O34:T35"/>
    <mergeCell ref="U34:X35"/>
    <mergeCell ref="G27:I27"/>
    <mergeCell ref="J27:W27"/>
    <mergeCell ref="B28:X28"/>
    <mergeCell ref="B29:G29"/>
    <mergeCell ref="H29:W29"/>
    <mergeCell ref="B30:X30"/>
    <mergeCell ref="X23:X27"/>
    <mergeCell ref="A31:X31"/>
    <mergeCell ref="B32:G32"/>
    <mergeCell ref="I32:X32"/>
    <mergeCell ref="B33:X33"/>
    <mergeCell ref="C36:N36"/>
    <mergeCell ref="O36:P36"/>
    <mergeCell ref="R36:S36"/>
    <mergeCell ref="U36:W36"/>
    <mergeCell ref="C37:X37"/>
    <mergeCell ref="C38:X38"/>
    <mergeCell ref="C39:N39"/>
    <mergeCell ref="O39:T40"/>
    <mergeCell ref="U39:X40"/>
    <mergeCell ref="C41:N41"/>
    <mergeCell ref="O41:P41"/>
    <mergeCell ref="R41:S41"/>
    <mergeCell ref="U41:W41"/>
    <mergeCell ref="C42:X42"/>
    <mergeCell ref="C43:X43"/>
    <mergeCell ref="C44:N44"/>
    <mergeCell ref="O44:T45"/>
    <mergeCell ref="U44:X45"/>
    <mergeCell ref="C46:N46"/>
    <mergeCell ref="O46:P46"/>
    <mergeCell ref="R46:S46"/>
    <mergeCell ref="U46:W46"/>
    <mergeCell ref="C47:X47"/>
    <mergeCell ref="C48:W48"/>
    <mergeCell ref="A49:A51"/>
    <mergeCell ref="B49:B51"/>
    <mergeCell ref="C49:X51"/>
    <mergeCell ref="B69:X69"/>
    <mergeCell ref="A52:X52"/>
    <mergeCell ref="B65:E65"/>
    <mergeCell ref="H65:L65"/>
    <mergeCell ref="M65:Q65"/>
    <mergeCell ref="A53:A55"/>
    <mergeCell ref="B53:B55"/>
    <mergeCell ref="C53:X55"/>
    <mergeCell ref="A56:X56"/>
    <mergeCell ref="A57:A59"/>
    <mergeCell ref="B57:B59"/>
    <mergeCell ref="C57:X59"/>
    <mergeCell ref="B62:X62"/>
    <mergeCell ref="B63:G63"/>
    <mergeCell ref="H63:L63"/>
    <mergeCell ref="M63:Q63"/>
    <mergeCell ref="R63:X63"/>
    <mergeCell ref="B64:E64"/>
    <mergeCell ref="G64:G68"/>
    <mergeCell ref="B66:E66"/>
    <mergeCell ref="H66:L66"/>
    <mergeCell ref="M68:Q68"/>
    <mergeCell ref="R68:X68"/>
    <mergeCell ref="B70:X70"/>
    <mergeCell ref="B73:E73"/>
    <mergeCell ref="B60:X60"/>
    <mergeCell ref="B61:X61"/>
    <mergeCell ref="M66:Q66"/>
    <mergeCell ref="R66:X66"/>
    <mergeCell ref="B67:E67"/>
    <mergeCell ref="R65:X65"/>
    <mergeCell ref="A71:A74"/>
    <mergeCell ref="B71:E71"/>
    <mergeCell ref="F71:M71"/>
    <mergeCell ref="N71:X71"/>
    <mergeCell ref="F73:L73"/>
    <mergeCell ref="N73:W73"/>
    <mergeCell ref="B74:X74"/>
    <mergeCell ref="B68:E68"/>
    <mergeCell ref="H68:L68"/>
    <mergeCell ref="H67:L67"/>
    <mergeCell ref="M67:Q67"/>
    <mergeCell ref="R67:X67"/>
    <mergeCell ref="H64:L64"/>
    <mergeCell ref="M64:Q64"/>
    <mergeCell ref="R64:X64"/>
    <mergeCell ref="A62:A69"/>
  </mergeCells>
  <conditionalFormatting sqref="U41:W41 U36:W36 U46:W46">
    <cfRule type="cellIs" dxfId="19" priority="1" stopIfTrue="1" operator="equal">
      <formula>0</formula>
    </cfRule>
  </conditionalFormatting>
  <pageMargins left="0.59055118110236227" right="0.19685039370078741" top="0.23622047244094491" bottom="0.23622047244094491" header="0.11811023622047245" footer="0.11811023622047245"/>
  <pageSetup paperSize="9" scale="75" orientation="portrait" r:id="rId1"/>
  <headerFooter alignWithMargins="0">
    <oddFooter>&amp;L&amp;F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locked="0" defaultSize="0" autoFill="0" autoLine="0" autoPict="0">
                <anchor moveWithCells="1">
                  <from>
                    <xdr:col>6</xdr:col>
                    <xdr:colOff>9525</xdr:colOff>
                    <xdr:row>12</xdr:row>
                    <xdr:rowOff>28575</xdr:rowOff>
                  </from>
                  <to>
                    <xdr:col>7</xdr:col>
                    <xdr:colOff>0</xdr:colOff>
                    <xdr:row>12</xdr:row>
                    <xdr:rowOff>200025</xdr:rowOff>
                  </to>
                </anchor>
              </controlPr>
            </control>
          </mc:Choice>
        </mc:AlternateContent>
        <mc:AlternateContent xmlns:mc="http://schemas.openxmlformats.org/markup-compatibility/2006">
          <mc:Choice Requires="x14">
            <control shapeId="70658" r:id="rId5" name="Check Box 2">
              <controlPr locked="0" defaultSize="0" autoFill="0" autoLine="0" autoPict="0">
                <anchor moveWithCells="1">
                  <from>
                    <xdr:col>6</xdr:col>
                    <xdr:colOff>9525</xdr:colOff>
                    <xdr:row>14</xdr:row>
                    <xdr:rowOff>28575</xdr:rowOff>
                  </from>
                  <to>
                    <xdr:col>7</xdr:col>
                    <xdr:colOff>0</xdr:colOff>
                    <xdr:row>14</xdr:row>
                    <xdr:rowOff>200025</xdr:rowOff>
                  </to>
                </anchor>
              </controlPr>
            </control>
          </mc:Choice>
        </mc:AlternateContent>
        <mc:AlternateContent xmlns:mc="http://schemas.openxmlformats.org/markup-compatibility/2006">
          <mc:Choice Requires="x14">
            <control shapeId="70659" r:id="rId6" name="Check Box 3">
              <controlPr locked="0" defaultSize="0" autoFill="0" autoLine="0" autoPict="0">
                <anchor moveWithCells="1">
                  <from>
                    <xdr:col>6</xdr:col>
                    <xdr:colOff>9525</xdr:colOff>
                    <xdr:row>16</xdr:row>
                    <xdr:rowOff>28575</xdr:rowOff>
                  </from>
                  <to>
                    <xdr:col>7</xdr:col>
                    <xdr:colOff>0</xdr:colOff>
                    <xdr:row>16</xdr:row>
                    <xdr:rowOff>200025</xdr:rowOff>
                  </to>
                </anchor>
              </controlPr>
            </control>
          </mc:Choice>
        </mc:AlternateContent>
        <mc:AlternateContent xmlns:mc="http://schemas.openxmlformats.org/markup-compatibility/2006">
          <mc:Choice Requires="x14">
            <control shapeId="70660" r:id="rId7" name="Check Box 4">
              <controlPr locked="0" defaultSize="0" autoFill="0" autoLine="0" autoPict="0">
                <anchor moveWithCells="1">
                  <from>
                    <xdr:col>12</xdr:col>
                    <xdr:colOff>9525</xdr:colOff>
                    <xdr:row>14</xdr:row>
                    <xdr:rowOff>28575</xdr:rowOff>
                  </from>
                  <to>
                    <xdr:col>13</xdr:col>
                    <xdr:colOff>0</xdr:colOff>
                    <xdr:row>14</xdr:row>
                    <xdr:rowOff>200025</xdr:rowOff>
                  </to>
                </anchor>
              </controlPr>
            </control>
          </mc:Choice>
        </mc:AlternateContent>
        <mc:AlternateContent xmlns:mc="http://schemas.openxmlformats.org/markup-compatibility/2006">
          <mc:Choice Requires="x14">
            <control shapeId="70661" r:id="rId8" name="Check Box 5">
              <controlPr locked="0" defaultSize="0" autoFill="0" autoLine="0" autoPict="0">
                <anchor moveWithCells="1">
                  <from>
                    <xdr:col>12</xdr:col>
                    <xdr:colOff>9525</xdr:colOff>
                    <xdr:row>12</xdr:row>
                    <xdr:rowOff>28575</xdr:rowOff>
                  </from>
                  <to>
                    <xdr:col>13</xdr:col>
                    <xdr:colOff>0</xdr:colOff>
                    <xdr:row>12</xdr:row>
                    <xdr:rowOff>200025</xdr:rowOff>
                  </to>
                </anchor>
              </controlPr>
            </control>
          </mc:Choice>
        </mc:AlternateContent>
        <mc:AlternateContent xmlns:mc="http://schemas.openxmlformats.org/markup-compatibility/2006">
          <mc:Choice Requires="x14">
            <control shapeId="70662" r:id="rId9" name="Check Box 6">
              <controlPr locked="0" defaultSize="0" autoFill="0" autoLine="0" autoPict="0">
                <anchor moveWithCells="1">
                  <from>
                    <xdr:col>12</xdr:col>
                    <xdr:colOff>9525</xdr:colOff>
                    <xdr:row>16</xdr:row>
                    <xdr:rowOff>28575</xdr:rowOff>
                  </from>
                  <to>
                    <xdr:col>13</xdr:col>
                    <xdr:colOff>0</xdr:colOff>
                    <xdr:row>16</xdr:row>
                    <xdr:rowOff>200025</xdr:rowOff>
                  </to>
                </anchor>
              </controlPr>
            </control>
          </mc:Choice>
        </mc:AlternateContent>
        <mc:AlternateContent xmlns:mc="http://schemas.openxmlformats.org/markup-compatibility/2006">
          <mc:Choice Requires="x14">
            <control shapeId="70663" r:id="rId10" name="Check Box 7">
              <controlPr locked="0" defaultSize="0" autoFill="0" autoLine="0" autoPict="0">
                <anchor moveWithCells="1">
                  <from>
                    <xdr:col>17</xdr:col>
                    <xdr:colOff>9525</xdr:colOff>
                    <xdr:row>12</xdr:row>
                    <xdr:rowOff>28575</xdr:rowOff>
                  </from>
                  <to>
                    <xdr:col>18</xdr:col>
                    <xdr:colOff>0</xdr:colOff>
                    <xdr:row>12</xdr:row>
                    <xdr:rowOff>200025</xdr:rowOff>
                  </to>
                </anchor>
              </controlPr>
            </control>
          </mc:Choice>
        </mc:AlternateContent>
        <mc:AlternateContent xmlns:mc="http://schemas.openxmlformats.org/markup-compatibility/2006">
          <mc:Choice Requires="x14">
            <control shapeId="70664" r:id="rId11" name="Check Box 8">
              <controlPr locked="0" defaultSize="0" autoFill="0" autoLine="0" autoPict="0">
                <anchor moveWithCells="1">
                  <from>
                    <xdr:col>6</xdr:col>
                    <xdr:colOff>9525</xdr:colOff>
                    <xdr:row>18</xdr:row>
                    <xdr:rowOff>28575</xdr:rowOff>
                  </from>
                  <to>
                    <xdr:col>7</xdr:col>
                    <xdr:colOff>0</xdr:colOff>
                    <xdr:row>18</xdr:row>
                    <xdr:rowOff>200025</xdr:rowOff>
                  </to>
                </anchor>
              </controlPr>
            </control>
          </mc:Choice>
        </mc:AlternateContent>
        <mc:AlternateContent xmlns:mc="http://schemas.openxmlformats.org/markup-compatibility/2006">
          <mc:Choice Requires="x14">
            <control shapeId="70665" r:id="rId12" name="Check Box 9">
              <controlPr locked="0" defaultSize="0" autoFill="0" autoLine="0" autoPict="0">
                <anchor moveWithCells="1">
                  <from>
                    <xdr:col>5</xdr:col>
                    <xdr:colOff>9525</xdr:colOff>
                    <xdr:row>22</xdr:row>
                    <xdr:rowOff>38100</xdr:rowOff>
                  </from>
                  <to>
                    <xdr:col>6</xdr:col>
                    <xdr:colOff>0</xdr:colOff>
                    <xdr:row>22</xdr:row>
                    <xdr:rowOff>209550</xdr:rowOff>
                  </to>
                </anchor>
              </controlPr>
            </control>
          </mc:Choice>
        </mc:AlternateContent>
        <mc:AlternateContent xmlns:mc="http://schemas.openxmlformats.org/markup-compatibility/2006">
          <mc:Choice Requires="x14">
            <control shapeId="70666" r:id="rId13" name="Check Box 10">
              <controlPr locked="0" defaultSize="0" autoFill="0" autoLine="0" autoPict="0">
                <anchor moveWithCells="1">
                  <from>
                    <xdr:col>5</xdr:col>
                    <xdr:colOff>9525</xdr:colOff>
                    <xdr:row>23</xdr:row>
                    <xdr:rowOff>38100</xdr:rowOff>
                  </from>
                  <to>
                    <xdr:col>6</xdr:col>
                    <xdr:colOff>0</xdr:colOff>
                    <xdr:row>23</xdr:row>
                    <xdr:rowOff>209550</xdr:rowOff>
                  </to>
                </anchor>
              </controlPr>
            </control>
          </mc:Choice>
        </mc:AlternateContent>
        <mc:AlternateContent xmlns:mc="http://schemas.openxmlformats.org/markup-compatibility/2006">
          <mc:Choice Requires="x14">
            <control shapeId="70667" r:id="rId14" name="Check Box 11">
              <controlPr locked="0" defaultSize="0" autoFill="0" autoLine="0" autoPict="0">
                <anchor moveWithCells="1">
                  <from>
                    <xdr:col>5</xdr:col>
                    <xdr:colOff>9525</xdr:colOff>
                    <xdr:row>24</xdr:row>
                    <xdr:rowOff>28575</xdr:rowOff>
                  </from>
                  <to>
                    <xdr:col>6</xdr:col>
                    <xdr:colOff>0</xdr:colOff>
                    <xdr:row>24</xdr:row>
                    <xdr:rowOff>200025</xdr:rowOff>
                  </to>
                </anchor>
              </controlPr>
            </control>
          </mc:Choice>
        </mc:AlternateContent>
        <mc:AlternateContent xmlns:mc="http://schemas.openxmlformats.org/markup-compatibility/2006">
          <mc:Choice Requires="x14">
            <control shapeId="70668" r:id="rId15" name="Check Box 12">
              <controlPr locked="0" defaultSize="0" autoFill="0" autoLine="0" autoPict="0">
                <anchor moveWithCells="1">
                  <from>
                    <xdr:col>5</xdr:col>
                    <xdr:colOff>9525</xdr:colOff>
                    <xdr:row>25</xdr:row>
                    <xdr:rowOff>38100</xdr:rowOff>
                  </from>
                  <to>
                    <xdr:col>6</xdr:col>
                    <xdr:colOff>0</xdr:colOff>
                    <xdr:row>25</xdr:row>
                    <xdr:rowOff>209550</xdr:rowOff>
                  </to>
                </anchor>
              </controlPr>
            </control>
          </mc:Choice>
        </mc:AlternateContent>
        <mc:AlternateContent xmlns:mc="http://schemas.openxmlformats.org/markup-compatibility/2006">
          <mc:Choice Requires="x14">
            <control shapeId="70669" r:id="rId16" name="Check Box 13">
              <controlPr locked="0" defaultSize="0" autoFill="0" autoLine="0" autoPict="0">
                <anchor moveWithCells="1">
                  <from>
                    <xdr:col>5</xdr:col>
                    <xdr:colOff>9525</xdr:colOff>
                    <xdr:row>26</xdr:row>
                    <xdr:rowOff>28575</xdr:rowOff>
                  </from>
                  <to>
                    <xdr:col>6</xdr:col>
                    <xdr:colOff>0</xdr:colOff>
                    <xdr:row>26</xdr:row>
                    <xdr:rowOff>200025</xdr:rowOff>
                  </to>
                </anchor>
              </controlPr>
            </control>
          </mc:Choice>
        </mc:AlternateContent>
        <mc:AlternateContent xmlns:mc="http://schemas.openxmlformats.org/markup-compatibility/2006">
          <mc:Choice Requires="x14">
            <control shapeId="70670" r:id="rId17" name="Check Box 14">
              <controlPr locked="0" defaultSize="0" autoFill="0" autoLine="0" autoPict="0">
                <anchor moveWithCells="1">
                  <from>
                    <xdr:col>7</xdr:col>
                    <xdr:colOff>9525</xdr:colOff>
                    <xdr:row>31</xdr:row>
                    <xdr:rowOff>28575</xdr:rowOff>
                  </from>
                  <to>
                    <xdr:col>8</xdr:col>
                    <xdr:colOff>0</xdr:colOff>
                    <xdr:row>31</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8" tint="0.79998168889431442"/>
    <pageSetUpPr fitToPage="1"/>
  </sheetPr>
  <dimension ref="A1:H68"/>
  <sheetViews>
    <sheetView zoomScale="86" zoomScaleNormal="86" workbookViewId="0">
      <selection activeCell="A4" sqref="A4:C4"/>
    </sheetView>
  </sheetViews>
  <sheetFormatPr baseColWidth="10" defaultColWidth="12.5703125" defaultRowHeight="14.25"/>
  <cols>
    <col min="1" max="1" width="3.140625" style="275" customWidth="1"/>
    <col min="2" max="2" width="34.42578125" style="275" customWidth="1"/>
    <col min="3" max="3" width="15.42578125" style="275" customWidth="1"/>
    <col min="4" max="4" width="11.28515625" style="292" customWidth="1"/>
    <col min="5" max="5" width="16.7109375" style="292" customWidth="1"/>
    <col min="6" max="6" width="16" style="292" customWidth="1"/>
    <col min="7" max="7" width="19.140625" style="292" customWidth="1"/>
    <col min="8" max="16384" width="12.5703125" style="275"/>
  </cols>
  <sheetData>
    <row r="1" spans="1:8" ht="20.25">
      <c r="A1" s="1259" t="s">
        <v>503</v>
      </c>
      <c r="B1" s="1259"/>
      <c r="C1" s="1259"/>
      <c r="D1" s="1259"/>
      <c r="E1" s="1259"/>
      <c r="F1" s="1259"/>
      <c r="G1" s="482" t="s">
        <v>652</v>
      </c>
    </row>
    <row r="2" spans="1:8" ht="6.75" customHeight="1">
      <c r="A2" s="276"/>
      <c r="B2" s="259"/>
      <c r="C2" s="259"/>
      <c r="D2" s="258"/>
      <c r="E2" s="258"/>
      <c r="F2" s="258"/>
      <c r="G2" s="258"/>
    </row>
    <row r="3" spans="1:8" ht="15.75">
      <c r="A3" s="1254" t="s">
        <v>483</v>
      </c>
      <c r="B3" s="1254"/>
      <c r="C3" s="1254"/>
      <c r="D3" s="1258"/>
      <c r="E3" s="1245" t="s">
        <v>484</v>
      </c>
      <c r="F3" s="1245"/>
      <c r="G3" s="1245"/>
      <c r="H3" s="259"/>
    </row>
    <row r="4" spans="1:8" ht="15">
      <c r="A4" s="1246" t="str">
        <f>CONCATENATE('4_Anzeichnungsprotokoll'!C11," ",'4_Anzeichnungsprotokoll'!C12)</f>
        <v xml:space="preserve"> </v>
      </c>
      <c r="B4" s="1246"/>
      <c r="C4" s="1246"/>
      <c r="D4" s="1258"/>
      <c r="E4" s="1243"/>
      <c r="F4" s="1247"/>
      <c r="G4" s="1247"/>
      <c r="H4" s="259"/>
    </row>
    <row r="5" spans="1:8" ht="15">
      <c r="A5" s="1246" t="str">
        <f>CONCATENATE('4_Anzeichnungsprotokoll'!J11," ")</f>
        <v xml:space="preserve"> </v>
      </c>
      <c r="B5" s="1246"/>
      <c r="C5" s="1246"/>
      <c r="D5" s="1258"/>
      <c r="E5" s="1248"/>
      <c r="F5" s="1249"/>
      <c r="G5" s="1249"/>
      <c r="H5" s="259"/>
    </row>
    <row r="6" spans="1:8" ht="15">
      <c r="A6" s="1246" t="str">
        <f>CONCATENATE('4_Anzeichnungsprotokoll'!J12," ")</f>
        <v xml:space="preserve"> </v>
      </c>
      <c r="B6" s="1246"/>
      <c r="C6" s="1246"/>
      <c r="D6" s="1258"/>
      <c r="E6" s="1248"/>
      <c r="F6" s="1249"/>
      <c r="G6" s="1249"/>
      <c r="H6" s="259"/>
    </row>
    <row r="7" spans="1:8" ht="15">
      <c r="A7" s="1246" t="str">
        <f>CONCATENATE('4_Anzeichnungsprotokoll'!C13," ",'4_Anzeichnungsprotokoll'!J13)</f>
        <v xml:space="preserve"> </v>
      </c>
      <c r="B7" s="1246"/>
      <c r="C7" s="1246"/>
      <c r="D7" s="1258"/>
      <c r="E7" s="1252"/>
      <c r="F7" s="1253"/>
      <c r="G7" s="1253"/>
      <c r="H7" s="259"/>
    </row>
    <row r="8" spans="1:8" ht="15">
      <c r="A8" s="1234"/>
      <c r="B8" s="1234"/>
      <c r="C8" s="1234"/>
      <c r="D8" s="1234"/>
      <c r="E8" s="1234"/>
      <c r="F8" s="1234"/>
      <c r="G8" s="1234"/>
      <c r="H8" s="259"/>
    </row>
    <row r="9" spans="1:8" ht="15.75">
      <c r="A9" s="1257" t="s">
        <v>485</v>
      </c>
      <c r="B9" s="1257"/>
      <c r="C9" s="1257"/>
      <c r="D9" s="1258"/>
      <c r="E9" s="1245" t="s">
        <v>504</v>
      </c>
      <c r="F9" s="1245"/>
      <c r="G9" s="1245"/>
      <c r="H9" s="259"/>
    </row>
    <row r="10" spans="1:8" ht="15.75">
      <c r="A10" s="1241"/>
      <c r="B10" s="1241"/>
      <c r="C10" s="1241"/>
      <c r="D10" s="1258"/>
      <c r="E10" s="1243" t="str">
        <f>CONCATENATE('4_Anzeichnungsprotokoll'!A4," ",'4_Anzeichnungsprotokoll'!D4)</f>
        <v xml:space="preserve">Waldabteilung </v>
      </c>
      <c r="F10" s="1244"/>
      <c r="G10" s="1244"/>
      <c r="H10" s="259"/>
    </row>
    <row r="11" spans="1:8" ht="15.75">
      <c r="A11" s="1242"/>
      <c r="B11" s="1242"/>
      <c r="C11" s="1242"/>
      <c r="D11" s="1258"/>
      <c r="E11" s="1248"/>
      <c r="F11" s="1255"/>
      <c r="G11" s="1255"/>
      <c r="H11" s="259"/>
    </row>
    <row r="12" spans="1:8" ht="15.75">
      <c r="A12" s="1242"/>
      <c r="B12" s="1242"/>
      <c r="C12" s="1242"/>
      <c r="D12" s="1258"/>
      <c r="E12" s="1252"/>
      <c r="F12" s="1256"/>
      <c r="G12" s="1256"/>
      <c r="H12" s="259"/>
    </row>
    <row r="13" spans="1:8" ht="15.75">
      <c r="A13" s="1242"/>
      <c r="B13" s="1242"/>
      <c r="C13" s="1242"/>
      <c r="D13" s="1258"/>
      <c r="E13" s="1248"/>
      <c r="F13" s="1255"/>
      <c r="G13" s="1255"/>
      <c r="H13" s="259"/>
    </row>
    <row r="14" spans="1:8" ht="15">
      <c r="A14" s="1234"/>
      <c r="B14" s="1234"/>
      <c r="C14" s="1234"/>
      <c r="D14" s="1234"/>
      <c r="E14" s="1234"/>
      <c r="F14" s="1234"/>
      <c r="G14" s="1234"/>
      <c r="H14" s="259"/>
    </row>
    <row r="15" spans="1:8" ht="15.75">
      <c r="A15" s="1233" t="s">
        <v>486</v>
      </c>
      <c r="B15" s="1233"/>
      <c r="C15" s="1233"/>
      <c r="D15" s="1233"/>
      <c r="E15" s="277" t="s">
        <v>652</v>
      </c>
      <c r="F15" s="278" t="s">
        <v>208</v>
      </c>
      <c r="G15" s="277" t="s">
        <v>487</v>
      </c>
      <c r="H15" s="259"/>
    </row>
    <row r="16" spans="1:8" ht="16.5" customHeight="1">
      <c r="A16" s="1235" t="str">
        <f>CONCATENATE('4_Anzeichnungsprotokoll'!D23," ")</f>
        <v xml:space="preserve"> </v>
      </c>
      <c r="B16" s="1235"/>
      <c r="C16" s="1235"/>
      <c r="D16" s="1235"/>
      <c r="E16" s="272"/>
      <c r="F16" s="273"/>
      <c r="G16" s="274"/>
      <c r="H16" s="259"/>
    </row>
    <row r="17" spans="1:8" ht="16.5" customHeight="1">
      <c r="A17" s="1234"/>
      <c r="B17" s="1234"/>
      <c r="C17" s="1234"/>
      <c r="D17" s="1234"/>
      <c r="E17" s="1234"/>
      <c r="F17" s="1234"/>
      <c r="G17" s="1234"/>
      <c r="H17" s="259"/>
    </row>
    <row r="18" spans="1:8" ht="15.75">
      <c r="A18" s="1233" t="s">
        <v>648</v>
      </c>
      <c r="B18" s="1233"/>
      <c r="C18" s="1233"/>
      <c r="D18" s="1233"/>
      <c r="E18" s="1233"/>
      <c r="F18" s="279" t="s">
        <v>24</v>
      </c>
      <c r="G18" s="278" t="s">
        <v>653</v>
      </c>
      <c r="H18" s="259"/>
    </row>
    <row r="19" spans="1:8" ht="15.75" customHeight="1">
      <c r="A19" s="280">
        <v>1</v>
      </c>
      <c r="B19" s="1239"/>
      <c r="C19" s="1239"/>
      <c r="D19" s="1239"/>
      <c r="E19" s="1239"/>
      <c r="F19" s="269"/>
      <c r="G19" s="270"/>
      <c r="H19" s="259"/>
    </row>
    <row r="20" spans="1:8" ht="15.75" customHeight="1">
      <c r="A20" s="280">
        <v>2</v>
      </c>
      <c r="B20" s="1239"/>
      <c r="C20" s="1239"/>
      <c r="D20" s="1239"/>
      <c r="E20" s="1239"/>
      <c r="F20" s="269"/>
      <c r="G20" s="270"/>
      <c r="H20" s="259"/>
    </row>
    <row r="21" spans="1:8" ht="15.75" customHeight="1">
      <c r="A21" s="280">
        <v>3</v>
      </c>
      <c r="B21" s="1240"/>
      <c r="C21" s="1240"/>
      <c r="D21" s="1240"/>
      <c r="E21" s="1240"/>
      <c r="F21" s="269"/>
      <c r="G21" s="271"/>
      <c r="H21" s="259"/>
    </row>
    <row r="22" spans="1:8" ht="15.75" customHeight="1">
      <c r="A22" s="280">
        <v>4</v>
      </c>
      <c r="B22" s="1240"/>
      <c r="C22" s="1240"/>
      <c r="D22" s="1240"/>
      <c r="E22" s="1240"/>
      <c r="F22" s="269"/>
      <c r="G22" s="271"/>
      <c r="H22" s="259"/>
    </row>
    <row r="23" spans="1:8" ht="15.75" customHeight="1">
      <c r="A23" s="280">
        <v>5</v>
      </c>
      <c r="B23" s="293"/>
      <c r="C23" s="293"/>
      <c r="D23" s="293"/>
      <c r="E23" s="294"/>
      <c r="F23" s="269"/>
      <c r="G23" s="271"/>
      <c r="H23" s="259"/>
    </row>
    <row r="24" spans="1:8" ht="15.75" customHeight="1">
      <c r="A24" s="280">
        <v>6</v>
      </c>
      <c r="B24" s="293"/>
      <c r="C24" s="293"/>
      <c r="D24" s="293"/>
      <c r="E24" s="294"/>
      <c r="F24" s="269"/>
      <c r="G24" s="271"/>
      <c r="H24" s="259"/>
    </row>
    <row r="25" spans="1:8" ht="15.75" customHeight="1">
      <c r="A25" s="1236" t="s">
        <v>649</v>
      </c>
      <c r="B25" s="1237"/>
      <c r="C25" s="1237"/>
      <c r="D25" s="1237"/>
      <c r="E25" s="1238"/>
      <c r="F25" s="281">
        <f>SUM(F19:F24)</f>
        <v>0</v>
      </c>
      <c r="G25" s="281">
        <f>SUM(G19:G24)</f>
        <v>0</v>
      </c>
      <c r="H25" s="259"/>
    </row>
    <row r="26" spans="1:8" ht="14.25" customHeight="1">
      <c r="A26" s="1230"/>
      <c r="B26" s="1230"/>
      <c r="C26" s="1230"/>
      <c r="D26" s="1230"/>
      <c r="E26" s="1230"/>
      <c r="F26" s="1230"/>
      <c r="G26" s="1230"/>
    </row>
    <row r="27" spans="1:8" ht="15.75">
      <c r="A27" s="1225" t="s">
        <v>489</v>
      </c>
      <c r="B27" s="1225"/>
      <c r="C27" s="1225"/>
      <c r="D27" s="1225"/>
      <c r="E27" s="1225"/>
      <c r="F27" s="1225"/>
      <c r="G27" s="1225"/>
    </row>
    <row r="28" spans="1:8" ht="16.5" customHeight="1">
      <c r="A28" s="1227" t="s">
        <v>490</v>
      </c>
      <c r="B28" s="1228"/>
      <c r="C28" s="1229"/>
      <c r="D28" s="282" t="s">
        <v>491</v>
      </c>
      <c r="E28" s="282" t="s">
        <v>492</v>
      </c>
      <c r="F28" s="282" t="s">
        <v>493</v>
      </c>
      <c r="G28" s="282" t="s">
        <v>494</v>
      </c>
    </row>
    <row r="29" spans="1:8" ht="26.25" customHeight="1">
      <c r="A29" s="283" t="s">
        <v>505</v>
      </c>
      <c r="B29" s="1231" t="s">
        <v>506</v>
      </c>
      <c r="C29" s="1232"/>
      <c r="D29" s="284" t="s">
        <v>507</v>
      </c>
      <c r="E29" s="295" t="str">
        <f>IF(F$25=0,"",G29/F$25)</f>
        <v/>
      </c>
      <c r="F29" s="295" t="str">
        <f>IF(G$25=0,"",G29/G$25)</f>
        <v/>
      </c>
      <c r="G29" s="269"/>
    </row>
    <row r="30" spans="1:8" ht="16.899999999999999" customHeight="1">
      <c r="A30" s="283" t="s">
        <v>508</v>
      </c>
      <c r="B30" s="1231" t="s">
        <v>509</v>
      </c>
      <c r="C30" s="1231"/>
      <c r="D30" s="284" t="s">
        <v>507</v>
      </c>
      <c r="E30" s="295" t="str">
        <f>IF(F$25=0,"",G30/F$25)</f>
        <v/>
      </c>
      <c r="F30" s="295" t="str">
        <f>IF(G$25=0,"",G30/G$25)</f>
        <v/>
      </c>
      <c r="G30" s="269"/>
    </row>
    <row r="31" spans="1:8" ht="16.5" customHeight="1">
      <c r="A31" s="283">
        <v>2</v>
      </c>
      <c r="B31" s="1232" t="s">
        <v>495</v>
      </c>
      <c r="C31" s="1232"/>
      <c r="D31" s="268">
        <v>0.05</v>
      </c>
      <c r="E31" s="295" t="str">
        <f>IF(F$25=0,"",G31/F$25)</f>
        <v/>
      </c>
      <c r="F31" s="295" t="str">
        <f>IF(G$25=0,"",G31/G$25)</f>
        <v/>
      </c>
      <c r="G31" s="295">
        <f>SUM(G$29*D31)</f>
        <v>0</v>
      </c>
    </row>
    <row r="32" spans="1:8" ht="26.25" customHeight="1">
      <c r="A32" s="283">
        <v>3</v>
      </c>
      <c r="B32" s="1264" t="s">
        <v>510</v>
      </c>
      <c r="C32" s="1264"/>
      <c r="D32" s="268">
        <v>0.2</v>
      </c>
      <c r="E32" s="295" t="str">
        <f>IF(F$25=0,"",G32/F$25)</f>
        <v/>
      </c>
      <c r="F32" s="295" t="str">
        <f>IF(G$25=0,"",G32/G$25)</f>
        <v/>
      </c>
      <c r="G32" s="295">
        <f>SUM(G$29*D32)</f>
        <v>0</v>
      </c>
    </row>
    <row r="33" spans="1:7" ht="16.5" customHeight="1">
      <c r="A33" s="283">
        <v>4</v>
      </c>
      <c r="B33" s="1232" t="s">
        <v>511</v>
      </c>
      <c r="C33" s="1232"/>
      <c r="D33" s="268">
        <v>0.05</v>
      </c>
      <c r="E33" s="295" t="str">
        <f>IF(F$25=0,"",G33/F$25)</f>
        <v/>
      </c>
      <c r="F33" s="295" t="str">
        <f>IF(G$25=0,"",G33/G$25)</f>
        <v/>
      </c>
      <c r="G33" s="295">
        <f>SUM(G$29*D33)</f>
        <v>0</v>
      </c>
    </row>
    <row r="34" spans="1:7" s="285" customFormat="1" ht="16.5" customHeight="1">
      <c r="A34" s="1260" t="s">
        <v>139</v>
      </c>
      <c r="B34" s="1260"/>
      <c r="C34" s="1260"/>
      <c r="D34" s="1260"/>
      <c r="E34" s="296">
        <f>SUM(E29:E33)</f>
        <v>0</v>
      </c>
      <c r="F34" s="296">
        <f>SUM(F29:F33)</f>
        <v>0</v>
      </c>
      <c r="G34" s="296">
        <f>SUM(G29:G33)</f>
        <v>0</v>
      </c>
    </row>
    <row r="35" spans="1:7" ht="14.25" customHeight="1">
      <c r="A35" s="1226"/>
      <c r="B35" s="1226"/>
      <c r="C35" s="1226"/>
      <c r="D35" s="1226"/>
      <c r="E35" s="1226"/>
      <c r="F35" s="1226"/>
      <c r="G35" s="1226"/>
    </row>
    <row r="36" spans="1:7" ht="15.75">
      <c r="A36" s="1225" t="s">
        <v>496</v>
      </c>
      <c r="B36" s="1225"/>
      <c r="C36" s="1225"/>
      <c r="D36" s="1225"/>
      <c r="E36" s="1225"/>
      <c r="F36" s="1225"/>
      <c r="G36" s="1225"/>
    </row>
    <row r="37" spans="1:7" ht="16.5" customHeight="1">
      <c r="A37" s="1265" t="s">
        <v>490</v>
      </c>
      <c r="B37" s="1266"/>
      <c r="C37" s="278" t="s">
        <v>138</v>
      </c>
      <c r="D37" s="282" t="s">
        <v>23</v>
      </c>
      <c r="E37" s="282" t="s">
        <v>497</v>
      </c>
      <c r="F37" s="282" t="s">
        <v>650</v>
      </c>
      <c r="G37" s="282" t="s">
        <v>494</v>
      </c>
    </row>
    <row r="38" spans="1:7" ht="16.5" customHeight="1">
      <c r="A38" s="1260" t="s">
        <v>498</v>
      </c>
      <c r="B38" s="1260"/>
      <c r="C38" s="1260"/>
      <c r="D38" s="1260"/>
      <c r="E38" s="1260"/>
      <c r="F38" s="1260"/>
      <c r="G38" s="281">
        <f>SUM(G34)</f>
        <v>0</v>
      </c>
    </row>
    <row r="39" spans="1:7" ht="16.5" customHeight="1">
      <c r="A39" s="1232" t="s">
        <v>499</v>
      </c>
      <c r="B39" s="1232"/>
      <c r="C39" s="286" t="s">
        <v>24</v>
      </c>
      <c r="D39" s="269"/>
      <c r="E39" s="262" t="str">
        <f>IF(D39=0,"",F39/D39)</f>
        <v/>
      </c>
      <c r="F39" s="269"/>
      <c r="G39" s="295"/>
    </row>
    <row r="40" spans="1:7" ht="16.5" customHeight="1">
      <c r="A40" s="1232" t="s">
        <v>512</v>
      </c>
      <c r="B40" s="1232"/>
      <c r="C40" s="284" t="s">
        <v>488</v>
      </c>
      <c r="D40" s="269"/>
      <c r="E40" s="262" t="str">
        <f>IF(D40=0,"",F40/D40)</f>
        <v/>
      </c>
      <c r="F40" s="269"/>
      <c r="G40" s="295"/>
    </row>
    <row r="41" spans="1:7" ht="16.5" customHeight="1">
      <c r="A41" s="1267" t="s">
        <v>654</v>
      </c>
      <c r="B41" s="1267"/>
      <c r="C41" s="1267"/>
      <c r="D41" s="1267"/>
      <c r="E41" s="1267"/>
      <c r="F41" s="296">
        <f>SUM(F39:F40)</f>
        <v>0</v>
      </c>
      <c r="G41" s="296">
        <f>G38-F41</f>
        <v>0</v>
      </c>
    </row>
    <row r="42" spans="1:7" ht="16.5" customHeight="1">
      <c r="A42" s="1260" t="s">
        <v>1020</v>
      </c>
      <c r="B42" s="1260"/>
      <c r="C42" s="1260"/>
      <c r="D42" s="1260"/>
      <c r="E42" s="1260"/>
      <c r="F42" s="296"/>
      <c r="G42" s="296">
        <f>SUM(G41/100)*107.7</f>
        <v>0</v>
      </c>
    </row>
    <row r="43" spans="1:7" ht="16.5" customHeight="1">
      <c r="A43" s="1260" t="s">
        <v>513</v>
      </c>
      <c r="B43" s="1260"/>
      <c r="C43" s="1251" t="s">
        <v>514</v>
      </c>
      <c r="D43" s="1251"/>
      <c r="E43" s="1251"/>
      <c r="F43" s="296">
        <f>G42</f>
        <v>0</v>
      </c>
      <c r="G43" s="297"/>
    </row>
    <row r="44" spans="1:7" s="285" customFormat="1" ht="16.5" customHeight="1">
      <c r="A44" s="1260" t="s">
        <v>515</v>
      </c>
      <c r="B44" s="1260"/>
      <c r="C44" s="1260"/>
      <c r="D44" s="1260"/>
      <c r="E44" s="1260"/>
      <c r="F44" s="296">
        <f>F41+G41</f>
        <v>0</v>
      </c>
      <c r="G44" s="296">
        <f>F44-G38</f>
        <v>0</v>
      </c>
    </row>
    <row r="45" spans="1:7" ht="14.25" customHeight="1">
      <c r="A45" s="1250"/>
      <c r="B45" s="1250"/>
      <c r="C45" s="1250"/>
      <c r="D45" s="1250"/>
      <c r="E45" s="1250"/>
      <c r="F45" s="1250"/>
      <c r="G45" s="1250"/>
    </row>
    <row r="46" spans="1:7" s="288" customFormat="1" ht="36.75" customHeight="1">
      <c r="A46" s="287"/>
      <c r="B46" s="1268" t="s">
        <v>651</v>
      </c>
      <c r="C46" s="1268"/>
      <c r="D46" s="1268"/>
      <c r="E46" s="1268"/>
      <c r="F46" s="1268"/>
      <c r="G46" s="1269"/>
    </row>
    <row r="47" spans="1:7" s="288" customFormat="1" ht="15.75">
      <c r="A47" s="1272"/>
      <c r="B47" s="1273"/>
      <c r="C47" s="1273"/>
      <c r="D47" s="1273"/>
      <c r="E47" s="1273"/>
      <c r="F47" s="1273"/>
      <c r="G47" s="1274"/>
    </row>
    <row r="48" spans="1:7" s="288" customFormat="1" ht="20.25">
      <c r="A48" s="289"/>
      <c r="B48" s="1270" t="s">
        <v>500</v>
      </c>
      <c r="C48" s="1270"/>
      <c r="D48" s="1270"/>
      <c r="E48" s="1270"/>
      <c r="F48" s="1270"/>
      <c r="G48" s="1271"/>
    </row>
    <row r="49" spans="1:7" s="288" customFormat="1" ht="20.25">
      <c r="A49" s="263"/>
      <c r="B49" s="290" t="s">
        <v>481</v>
      </c>
      <c r="C49" s="1261"/>
      <c r="D49" s="1262"/>
      <c r="E49" s="1262"/>
      <c r="F49" s="1262"/>
      <c r="G49" s="1263"/>
    </row>
    <row r="50" spans="1:7" ht="14.25" customHeight="1">
      <c r="A50" s="260"/>
      <c r="B50" s="260"/>
      <c r="C50" s="260"/>
      <c r="D50" s="261"/>
      <c r="E50" s="261"/>
      <c r="F50" s="261"/>
      <c r="G50" s="261"/>
    </row>
    <row r="51" spans="1:7" ht="15">
      <c r="A51" s="260"/>
      <c r="B51" s="260" t="s">
        <v>516</v>
      </c>
      <c r="C51" s="260"/>
      <c r="D51" s="261"/>
      <c r="E51" s="261" t="s">
        <v>501</v>
      </c>
      <c r="F51" s="261"/>
      <c r="G51" s="261"/>
    </row>
    <row r="52" spans="1:7" ht="15">
      <c r="A52" s="260"/>
      <c r="B52" s="264" t="s">
        <v>502</v>
      </c>
      <c r="C52" s="264"/>
      <c r="D52" s="261"/>
      <c r="E52" s="264" t="s">
        <v>502</v>
      </c>
      <c r="F52" s="261"/>
      <c r="G52" s="261"/>
    </row>
    <row r="53" spans="1:7" ht="15">
      <c r="A53" s="260"/>
      <c r="B53" s="260"/>
      <c r="C53" s="260"/>
      <c r="D53" s="261"/>
      <c r="E53" s="260"/>
      <c r="F53" s="261"/>
      <c r="G53" s="261"/>
    </row>
    <row r="54" spans="1:7" ht="15">
      <c r="A54" s="260"/>
      <c r="B54" s="260"/>
      <c r="C54" s="260"/>
      <c r="D54" s="261"/>
      <c r="E54" s="260"/>
      <c r="F54" s="261"/>
      <c r="G54" s="261"/>
    </row>
    <row r="55" spans="1:7" ht="15">
      <c r="A55" s="260"/>
      <c r="B55" s="260"/>
      <c r="C55" s="260"/>
      <c r="D55" s="261"/>
      <c r="E55" s="260"/>
      <c r="F55" s="261"/>
      <c r="G55" s="261"/>
    </row>
    <row r="56" spans="1:7" ht="15">
      <c r="A56" s="260"/>
      <c r="C56" s="264"/>
      <c r="D56" s="261"/>
      <c r="E56" s="275"/>
      <c r="F56" s="261"/>
      <c r="G56" s="261"/>
    </row>
    <row r="57" spans="1:7" ht="18" customHeight="1">
      <c r="A57" s="260"/>
      <c r="B57" s="264" t="s">
        <v>132</v>
      </c>
      <c r="C57" s="260"/>
      <c r="D57" s="261"/>
      <c r="E57" s="264" t="s">
        <v>132</v>
      </c>
      <c r="F57" s="261"/>
      <c r="G57" s="261"/>
    </row>
    <row r="58" spans="1:7" ht="15">
      <c r="A58" s="260"/>
      <c r="B58" s="260"/>
      <c r="C58" s="260"/>
      <c r="D58" s="261"/>
      <c r="E58" s="261"/>
      <c r="F58" s="261"/>
      <c r="G58" s="261"/>
    </row>
    <row r="59" spans="1:7" ht="15">
      <c r="A59" s="260"/>
      <c r="B59" s="291"/>
      <c r="C59" s="264"/>
      <c r="D59" s="261"/>
      <c r="E59" s="261"/>
      <c r="F59" s="261"/>
      <c r="G59" s="261"/>
    </row>
    <row r="60" spans="1:7" ht="15">
      <c r="A60" s="260"/>
      <c r="B60" s="260"/>
      <c r="C60" s="260"/>
      <c r="D60" s="261"/>
      <c r="E60" s="261"/>
      <c r="F60" s="261"/>
      <c r="G60" s="261"/>
    </row>
    <row r="61" spans="1:7" ht="15">
      <c r="A61" s="260"/>
      <c r="B61" s="260"/>
      <c r="C61" s="260"/>
      <c r="D61" s="261"/>
      <c r="E61" s="261"/>
      <c r="F61" s="261"/>
      <c r="G61" s="261"/>
    </row>
    <row r="62" spans="1:7" ht="15">
      <c r="A62" s="260"/>
      <c r="B62" s="264"/>
      <c r="C62" s="264"/>
      <c r="D62" s="261"/>
      <c r="E62" s="261"/>
      <c r="F62" s="261"/>
      <c r="G62" s="261"/>
    </row>
    <row r="63" spans="1:7" ht="15">
      <c r="A63" s="260"/>
      <c r="B63" s="260"/>
      <c r="C63" s="260"/>
      <c r="D63" s="261"/>
      <c r="E63" s="261"/>
      <c r="F63" s="261"/>
      <c r="G63" s="261"/>
    </row>
    <row r="64" spans="1:7" ht="15">
      <c r="A64" s="260"/>
      <c r="B64" s="260"/>
      <c r="C64" s="260"/>
      <c r="D64" s="261"/>
      <c r="E64" s="261"/>
      <c r="F64" s="261"/>
      <c r="G64" s="261"/>
    </row>
    <row r="65" spans="1:7" ht="15">
      <c r="A65" s="260"/>
      <c r="B65" s="260"/>
      <c r="C65" s="260"/>
      <c r="D65" s="261"/>
      <c r="E65" s="261"/>
      <c r="F65" s="261"/>
      <c r="G65" s="261"/>
    </row>
    <row r="66" spans="1:7" ht="15">
      <c r="A66" s="260"/>
      <c r="B66" s="260"/>
      <c r="C66" s="260"/>
      <c r="D66" s="261"/>
      <c r="E66" s="261"/>
      <c r="F66" s="261"/>
      <c r="G66" s="261"/>
    </row>
    <row r="67" spans="1:7" ht="15">
      <c r="A67" s="260"/>
      <c r="B67" s="260"/>
      <c r="C67" s="260"/>
      <c r="D67" s="261"/>
      <c r="E67" s="261"/>
      <c r="F67" s="261"/>
      <c r="G67" s="261"/>
    </row>
    <row r="68" spans="1:7" ht="15">
      <c r="A68" s="260"/>
      <c r="B68" s="260"/>
      <c r="C68" s="260"/>
      <c r="D68" s="261"/>
      <c r="E68" s="261"/>
      <c r="F68" s="261"/>
      <c r="G68" s="261"/>
    </row>
  </sheetData>
  <sheetProtection sheet="1" objects="1" scenarios="1" selectLockedCells="1"/>
  <protectedRanges>
    <protectedRange sqref="B7:B8 B14 D25:E25 G29:G30 F39:F40 D43:E43 A46 A48 C49 D31:D33 E4:E8 E10:E14 F19:G24 B19:C25 B16:B17 E16:G17" name="Bereich1"/>
  </protectedRanges>
  <mergeCells count="59">
    <mergeCell ref="A1:F1"/>
    <mergeCell ref="A44:E44"/>
    <mergeCell ref="C49:G49"/>
    <mergeCell ref="B29:C29"/>
    <mergeCell ref="B32:C32"/>
    <mergeCell ref="A37:B37"/>
    <mergeCell ref="A38:F38"/>
    <mergeCell ref="A34:D34"/>
    <mergeCell ref="A39:B39"/>
    <mergeCell ref="A40:B40"/>
    <mergeCell ref="A42:E42"/>
    <mergeCell ref="A41:E41"/>
    <mergeCell ref="A43:B43"/>
    <mergeCell ref="B46:G46"/>
    <mergeCell ref="B48:G48"/>
    <mergeCell ref="A47:G47"/>
    <mergeCell ref="A45:G45"/>
    <mergeCell ref="C43:E43"/>
    <mergeCell ref="E7:G7"/>
    <mergeCell ref="E3:G3"/>
    <mergeCell ref="A3:C3"/>
    <mergeCell ref="E13:G13"/>
    <mergeCell ref="A7:C7"/>
    <mergeCell ref="A6:C6"/>
    <mergeCell ref="E11:G11"/>
    <mergeCell ref="E12:G12"/>
    <mergeCell ref="A9:C9"/>
    <mergeCell ref="A11:C11"/>
    <mergeCell ref="A12:C12"/>
    <mergeCell ref="A14:G14"/>
    <mergeCell ref="D3:D7"/>
    <mergeCell ref="D9:D13"/>
    <mergeCell ref="A4:C4"/>
    <mergeCell ref="A5:C5"/>
    <mergeCell ref="E4:G4"/>
    <mergeCell ref="E5:G5"/>
    <mergeCell ref="E6:G6"/>
    <mergeCell ref="A8:G8"/>
    <mergeCell ref="A10:C10"/>
    <mergeCell ref="A13:C13"/>
    <mergeCell ref="E10:G10"/>
    <mergeCell ref="E9:G9"/>
    <mergeCell ref="A15:D15"/>
    <mergeCell ref="A17:G17"/>
    <mergeCell ref="A16:D16"/>
    <mergeCell ref="A25:E25"/>
    <mergeCell ref="B19:E19"/>
    <mergeCell ref="B20:E20"/>
    <mergeCell ref="B21:E21"/>
    <mergeCell ref="B22:E22"/>
    <mergeCell ref="A18:E18"/>
    <mergeCell ref="A27:G27"/>
    <mergeCell ref="A36:G36"/>
    <mergeCell ref="A35:G35"/>
    <mergeCell ref="A28:C28"/>
    <mergeCell ref="A26:G26"/>
    <mergeCell ref="B30:C30"/>
    <mergeCell ref="B31:C31"/>
    <mergeCell ref="B33:C33"/>
  </mergeCells>
  <pageMargins left="0.43307086614173229" right="0.47244094488188981" top="0.7265625" bottom="0.39370078740157483" header="0.27559055118110237" footer="0.19685039370078741"/>
  <pageSetup paperSize="9" scale="80" orientation="portrait" r:id="rId1"/>
  <headerFooter>
    <oddHeader>&amp;LAmt für Wald und Naturgefahren
des Kantons Bern&amp;CKalkulation OSW-Projekte /Beilage 5b&amp;RPflege im OSW, KS 6.1/7. Version 20/1</oddHeader>
    <oddFooter>&amp;L&amp;F /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0</xdr:col>
                    <xdr:colOff>9525</xdr:colOff>
                    <xdr:row>45</xdr:row>
                    <xdr:rowOff>9525</xdr:rowOff>
                  </from>
                  <to>
                    <xdr:col>1</xdr:col>
                    <xdr:colOff>266700</xdr:colOff>
                    <xdr:row>45</xdr:row>
                    <xdr:rowOff>228600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0</xdr:col>
                    <xdr:colOff>9525</xdr:colOff>
                    <xdr:row>47</xdr:row>
                    <xdr:rowOff>9525</xdr:rowOff>
                  </from>
                  <to>
                    <xdr:col>1</xdr:col>
                    <xdr:colOff>266700</xdr:colOff>
                    <xdr:row>47</xdr:row>
                    <xdr:rowOff>228600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0"/>
  </sheetPr>
  <dimension ref="A1:AA861"/>
  <sheetViews>
    <sheetView zoomScale="90" zoomScaleNormal="90" workbookViewId="0">
      <selection activeCell="J14" sqref="J14"/>
    </sheetView>
  </sheetViews>
  <sheetFormatPr baseColWidth="10" defaultRowHeight="12.75"/>
  <cols>
    <col min="1" max="1" width="11.42578125" style="15"/>
    <col min="2" max="2" width="11.42578125" style="43"/>
    <col min="5" max="6" width="11.42578125" style="2"/>
    <col min="7" max="8" width="11.42578125" style="6"/>
    <col min="9" max="9" width="31" bestFit="1" customWidth="1"/>
    <col min="10" max="12" width="20.5703125" bestFit="1" customWidth="1"/>
    <col min="13" max="14" width="20" bestFit="1" customWidth="1"/>
    <col min="15" max="15" width="16.7109375" bestFit="1" customWidth="1"/>
    <col min="16" max="16" width="18.5703125" bestFit="1" customWidth="1"/>
    <col min="17" max="18" width="19.7109375" bestFit="1" customWidth="1"/>
    <col min="19" max="19" width="18.7109375" bestFit="1" customWidth="1"/>
    <col min="20" max="21" width="19.85546875" bestFit="1" customWidth="1"/>
    <col min="22" max="22" width="18.85546875" bestFit="1" customWidth="1"/>
    <col min="23" max="24" width="20" bestFit="1" customWidth="1"/>
    <col min="25" max="25" width="18.85546875" bestFit="1" customWidth="1"/>
    <col min="26" max="27" width="20" bestFit="1" customWidth="1"/>
  </cols>
  <sheetData>
    <row r="1" spans="1:27">
      <c r="A1" s="15">
        <v>16</v>
      </c>
      <c r="C1">
        <v>0</v>
      </c>
      <c r="E1" s="63">
        <v>0.22</v>
      </c>
      <c r="F1" s="63">
        <v>0.06</v>
      </c>
      <c r="G1" s="64"/>
      <c r="H1" s="64"/>
      <c r="M1" s="7"/>
    </row>
    <row r="2" spans="1:27">
      <c r="A2" s="15">
        <v>16.100000000000001</v>
      </c>
      <c r="C2">
        <v>1</v>
      </c>
      <c r="E2" s="15">
        <f t="shared" ref="E2:E65" si="0">ROUND((E$141-E$1)/140*G2+E$1,2)</f>
        <v>0.22</v>
      </c>
      <c r="F2" s="15">
        <f t="shared" ref="F2:F65" si="1">ROUND((F$141-F$1)/140*G2+F$1,2)</f>
        <v>0.06</v>
      </c>
      <c r="G2" s="6">
        <v>1</v>
      </c>
      <c r="I2" t="s">
        <v>109</v>
      </c>
      <c r="J2" s="9" t="s">
        <v>416</v>
      </c>
      <c r="K2" s="9" t="s">
        <v>417</v>
      </c>
      <c r="L2" s="9" t="s">
        <v>693</v>
      </c>
      <c r="M2" s="9" t="s">
        <v>680</v>
      </c>
      <c r="N2" s="9" t="s">
        <v>415</v>
      </c>
      <c r="O2" s="9" t="s">
        <v>660</v>
      </c>
      <c r="P2" s="9" t="s">
        <v>681</v>
      </c>
      <c r="Q2" s="9" t="s">
        <v>682</v>
      </c>
      <c r="R2" s="9" t="s">
        <v>683</v>
      </c>
      <c r="S2" s="9" t="s">
        <v>684</v>
      </c>
      <c r="T2" s="9" t="s">
        <v>685</v>
      </c>
      <c r="U2" s="9" t="s">
        <v>686</v>
      </c>
      <c r="V2" s="9" t="s">
        <v>687</v>
      </c>
      <c r="W2" s="9" t="s">
        <v>688</v>
      </c>
      <c r="X2" s="9" t="s">
        <v>689</v>
      </c>
      <c r="Y2" s="9" t="s">
        <v>690</v>
      </c>
      <c r="Z2" s="9" t="s">
        <v>691</v>
      </c>
      <c r="AA2" s="9" t="s">
        <v>692</v>
      </c>
    </row>
    <row r="3" spans="1:27">
      <c r="A3" s="15">
        <v>16.2</v>
      </c>
      <c r="C3">
        <v>2</v>
      </c>
      <c r="E3" s="15">
        <f t="shared" si="0"/>
        <v>0.22</v>
      </c>
      <c r="F3" s="15">
        <f t="shared" si="1"/>
        <v>0.06</v>
      </c>
      <c r="G3" s="65">
        <v>2</v>
      </c>
      <c r="H3" s="65"/>
      <c r="I3" s="47" t="s">
        <v>89</v>
      </c>
      <c r="J3" s="2" t="str">
        <f>'4_Anzeichnungsprotokoll'!C63</f>
        <v/>
      </c>
      <c r="K3" s="2" t="str">
        <f>'4_Anzeichnungsprotokoll'!G63</f>
        <v/>
      </c>
      <c r="L3" s="2" t="str">
        <f>'4_Anzeichnungsprotokoll'!K63</f>
        <v/>
      </c>
      <c r="M3" s="2" t="str">
        <f>'4_Anzeichnungsprotokoll'!O63</f>
        <v/>
      </c>
      <c r="N3" s="2" t="str">
        <f>'4_Anzeichnungsprotokoll'!S63</f>
        <v/>
      </c>
      <c r="O3" s="2" t="str">
        <f>'4_Anzeichnungsprotokoll'!X63</f>
        <v/>
      </c>
      <c r="P3" s="2" t="str">
        <f>'4_Anzeichnungsprotokoll'!C72</f>
        <v/>
      </c>
      <c r="Q3" s="2" t="str">
        <f>'4_Anzeichnungsprotokoll'!G72</f>
        <v/>
      </c>
      <c r="R3" s="2" t="str">
        <f>'4_Anzeichnungsprotokoll'!K72</f>
        <v/>
      </c>
      <c r="S3" s="2" t="str">
        <f>'4_Anzeichnungsprotokoll'!O72</f>
        <v/>
      </c>
      <c r="T3" s="2" t="str">
        <f>'4_Anzeichnungsprotokoll'!S72</f>
        <v/>
      </c>
      <c r="U3" s="2" t="str">
        <f>'4_Anzeichnungsprotokoll'!W72</f>
        <v/>
      </c>
      <c r="V3" s="2" t="str">
        <f>'4_Anzeichnungsprotokoll'!C78</f>
        <v/>
      </c>
      <c r="W3" s="2" t="str">
        <f>'4_Anzeichnungsprotokoll'!G78</f>
        <v/>
      </c>
      <c r="X3" s="2" t="str">
        <f>'4_Anzeichnungsprotokoll'!K78</f>
        <v/>
      </c>
      <c r="Y3" s="2" t="str">
        <f>'4_Anzeichnungsprotokoll'!O78</f>
        <v/>
      </c>
      <c r="Z3" s="2" t="str">
        <f>'4_Anzeichnungsprotokoll'!S78</f>
        <v/>
      </c>
      <c r="AA3" s="2" t="str">
        <f>'4_Anzeichnungsprotokoll'!W78</f>
        <v/>
      </c>
    </row>
    <row r="4" spans="1:27" ht="14.25">
      <c r="A4" s="15">
        <v>16.3</v>
      </c>
      <c r="C4">
        <v>3</v>
      </c>
      <c r="E4" s="15">
        <f t="shared" si="0"/>
        <v>0.23</v>
      </c>
      <c r="F4" s="15">
        <f t="shared" si="1"/>
        <v>0.06</v>
      </c>
      <c r="G4" s="6">
        <v>3</v>
      </c>
      <c r="I4" t="s">
        <v>108</v>
      </c>
      <c r="J4" s="4" t="e">
        <f t="shared" ref="J4:P4" si="2">MATCH(J3,$B:$B,1)</f>
        <v>#N/A</v>
      </c>
      <c r="K4" s="4" t="e">
        <f t="shared" si="2"/>
        <v>#N/A</v>
      </c>
      <c r="L4" s="4" t="e">
        <f t="shared" si="2"/>
        <v>#N/A</v>
      </c>
      <c r="M4" s="4" t="e">
        <f t="shared" si="2"/>
        <v>#N/A</v>
      </c>
      <c r="N4" s="4" t="e">
        <f t="shared" si="2"/>
        <v>#N/A</v>
      </c>
      <c r="O4" s="4" t="e">
        <f t="shared" si="2"/>
        <v>#N/A</v>
      </c>
      <c r="P4" s="4" t="e">
        <f t="shared" si="2"/>
        <v>#N/A</v>
      </c>
      <c r="Q4" s="4" t="e">
        <f t="shared" ref="Q4:Z4" si="3">MATCH(Q3,$B:$B,1)</f>
        <v>#N/A</v>
      </c>
      <c r="R4" s="4" t="e">
        <f t="shared" si="3"/>
        <v>#N/A</v>
      </c>
      <c r="S4" s="4" t="e">
        <f t="shared" si="3"/>
        <v>#N/A</v>
      </c>
      <c r="T4" s="4" t="e">
        <f t="shared" si="3"/>
        <v>#N/A</v>
      </c>
      <c r="U4" s="4" t="e">
        <f t="shared" si="3"/>
        <v>#N/A</v>
      </c>
      <c r="V4" s="4" t="e">
        <f t="shared" si="3"/>
        <v>#N/A</v>
      </c>
      <c r="W4" s="4" t="e">
        <f t="shared" si="3"/>
        <v>#N/A</v>
      </c>
      <c r="X4" s="4" t="e">
        <f t="shared" si="3"/>
        <v>#N/A</v>
      </c>
      <c r="Y4" s="4" t="e">
        <f t="shared" si="3"/>
        <v>#N/A</v>
      </c>
      <c r="Z4" s="4" t="e">
        <f t="shared" si="3"/>
        <v>#N/A</v>
      </c>
      <c r="AA4" s="4" t="e">
        <f>MATCH(AA3,$B:$B,1)</f>
        <v>#N/A</v>
      </c>
    </row>
    <row r="5" spans="1:27" ht="14.25">
      <c r="A5" s="15">
        <v>16.399999999999999</v>
      </c>
      <c r="C5">
        <v>4</v>
      </c>
      <c r="E5" s="15">
        <f t="shared" si="0"/>
        <v>0.23</v>
      </c>
      <c r="F5" s="15">
        <f t="shared" si="1"/>
        <v>0.06</v>
      </c>
      <c r="G5" s="65">
        <v>4</v>
      </c>
      <c r="H5" s="65"/>
      <c r="I5" s="9" t="s">
        <v>111</v>
      </c>
      <c r="J5" s="11" t="e">
        <f>INDEX($A:$A,J4,1)</f>
        <v>#N/A</v>
      </c>
      <c r="K5" s="11" t="e">
        <f t="shared" ref="K5:P5" si="4">INDEX($A:$A,K4,1)</f>
        <v>#N/A</v>
      </c>
      <c r="L5" s="11" t="e">
        <f>INDEX($A:$A,L4,1)</f>
        <v>#N/A</v>
      </c>
      <c r="M5" s="11" t="e">
        <f t="shared" si="4"/>
        <v>#N/A</v>
      </c>
      <c r="N5" s="11" t="e">
        <f t="shared" si="4"/>
        <v>#N/A</v>
      </c>
      <c r="O5" s="11" t="e">
        <f t="shared" si="4"/>
        <v>#N/A</v>
      </c>
      <c r="P5" s="11" t="e">
        <f t="shared" si="4"/>
        <v>#N/A</v>
      </c>
      <c r="Q5" s="11" t="e">
        <f t="shared" ref="Q5:Z5" si="5">INDEX($A:$A,Q4,1)</f>
        <v>#N/A</v>
      </c>
      <c r="R5" s="11" t="e">
        <f t="shared" si="5"/>
        <v>#N/A</v>
      </c>
      <c r="S5" s="11" t="e">
        <f t="shared" si="5"/>
        <v>#N/A</v>
      </c>
      <c r="T5" s="11" t="e">
        <f t="shared" si="5"/>
        <v>#N/A</v>
      </c>
      <c r="U5" s="11" t="e">
        <f t="shared" si="5"/>
        <v>#N/A</v>
      </c>
      <c r="V5" s="11" t="e">
        <f t="shared" si="5"/>
        <v>#N/A</v>
      </c>
      <c r="W5" s="11" t="e">
        <f t="shared" si="5"/>
        <v>#N/A</v>
      </c>
      <c r="X5" s="11" t="e">
        <f t="shared" si="5"/>
        <v>#N/A</v>
      </c>
      <c r="Y5" s="11" t="e">
        <f t="shared" si="5"/>
        <v>#N/A</v>
      </c>
      <c r="Z5" s="11" t="e">
        <f t="shared" si="5"/>
        <v>#N/A</v>
      </c>
      <c r="AA5" s="11" t="e">
        <f>INDEX($A:$A,AA4,1)</f>
        <v>#N/A</v>
      </c>
    </row>
    <row r="6" spans="1:27" ht="14.25">
      <c r="A6" s="15">
        <v>16.5</v>
      </c>
      <c r="C6">
        <v>5</v>
      </c>
      <c r="E6" s="15">
        <f t="shared" si="0"/>
        <v>0.23</v>
      </c>
      <c r="F6" s="15">
        <f t="shared" si="1"/>
        <v>7.0000000000000007E-2</v>
      </c>
      <c r="G6" s="6">
        <v>5</v>
      </c>
      <c r="I6" s="10"/>
      <c r="M6" s="4"/>
      <c r="O6" s="4"/>
      <c r="P6" s="4"/>
      <c r="Q6" s="4"/>
      <c r="R6" s="4"/>
      <c r="S6" s="4"/>
      <c r="T6" s="4"/>
      <c r="U6" s="4"/>
      <c r="V6" s="4"/>
      <c r="W6" s="4"/>
      <c r="X6" s="4"/>
      <c r="Y6" s="4"/>
      <c r="Z6" s="4"/>
      <c r="AA6" s="4"/>
    </row>
    <row r="7" spans="1:27" ht="14.25">
      <c r="A7" s="15">
        <v>16.600000000000001</v>
      </c>
      <c r="C7">
        <v>6</v>
      </c>
      <c r="E7" s="15">
        <f t="shared" si="0"/>
        <v>0.23</v>
      </c>
      <c r="F7" s="15">
        <f t="shared" si="1"/>
        <v>7.0000000000000007E-2</v>
      </c>
      <c r="G7" s="65">
        <v>6</v>
      </c>
      <c r="H7" s="65"/>
      <c r="I7" s="47" t="s">
        <v>89</v>
      </c>
      <c r="J7" s="48" t="e">
        <f>ROUND('4_Anzeichnungsprotokoll'!#REF!/'4_Anzeichnungsprotokoll'!C62,2)</f>
        <v>#REF!</v>
      </c>
      <c r="K7" s="48" t="e">
        <f>ROUND('4_Anzeichnungsprotokoll'!#REF!/'4_Anzeichnungsprotokoll'!G62,2)</f>
        <v>#REF!</v>
      </c>
      <c r="L7" s="48" t="e">
        <f>ROUND('4_Anzeichnungsprotokoll'!#REF!/'4_Anzeichnungsprotokoll'!L62,2)</f>
        <v>#REF!</v>
      </c>
      <c r="M7" s="48" t="e">
        <f>ROUND('4_Anzeichnungsprotokoll'!#REF!/'4_Anzeichnungsprotokoll'!P62,2)</f>
        <v>#REF!</v>
      </c>
      <c r="N7" s="48" t="e">
        <f>ROUND('4_Anzeichnungsprotokoll'!#REF!/'4_Anzeichnungsprotokoll'!T62,2)</f>
        <v>#REF!</v>
      </c>
      <c r="O7" s="48" t="e">
        <f>ROUND('4_Anzeichnungsprotokoll'!#REF!/'4_Anzeichnungsprotokoll'!#REF!,2)</f>
        <v>#REF!</v>
      </c>
      <c r="P7" s="48" t="e">
        <f>ROUND('4_Anzeichnungsprotokoll'!#REF!/'4_Anzeichnungsprotokoll'!X62,2)</f>
        <v>#REF!</v>
      </c>
      <c r="Q7" s="48" t="e">
        <f>ROUND('4_Anzeichnungsprotokoll'!#REF!/'4_Anzeichnungsprotokoll'!Z62,2)</f>
        <v>#REF!</v>
      </c>
      <c r="R7" s="48" t="e">
        <f>ROUND('4_Anzeichnungsprotokoll'!#REF!/'4_Anzeichnungsprotokoll'!AA62,2)</f>
        <v>#REF!</v>
      </c>
      <c r="S7" s="48" t="e">
        <f>ROUND('4_Anzeichnungsprotokoll'!#REF!/'4_Anzeichnungsprotokoll'!AB62,2)</f>
        <v>#REF!</v>
      </c>
      <c r="T7" s="48" t="e">
        <f>ROUND('4_Anzeichnungsprotokoll'!#REF!/'4_Anzeichnungsprotokoll'!AC62,2)</f>
        <v>#REF!</v>
      </c>
      <c r="U7" s="48" t="e">
        <f>ROUND('4_Anzeichnungsprotokoll'!#REF!/'4_Anzeichnungsprotokoll'!AD62,2)</f>
        <v>#REF!</v>
      </c>
      <c r="V7" s="48" t="e">
        <f>ROUND('4_Anzeichnungsprotokoll'!#REF!/'4_Anzeichnungsprotokoll'!AE62,2)</f>
        <v>#REF!</v>
      </c>
      <c r="W7" s="48" t="e">
        <f>ROUND('4_Anzeichnungsprotokoll'!#REF!/'4_Anzeichnungsprotokoll'!AF62,2)</f>
        <v>#REF!</v>
      </c>
      <c r="X7" s="48" t="e">
        <f>ROUND('4_Anzeichnungsprotokoll'!#REF!/'4_Anzeichnungsprotokoll'!AG62,2)</f>
        <v>#REF!</v>
      </c>
      <c r="Y7" s="48" t="e">
        <f>ROUND('4_Anzeichnungsprotokoll'!#REF!/'4_Anzeichnungsprotokoll'!AH62,2)</f>
        <v>#REF!</v>
      </c>
      <c r="Z7" s="48" t="e">
        <f>ROUND('4_Anzeichnungsprotokoll'!#REF!/'4_Anzeichnungsprotokoll'!AI62,2)</f>
        <v>#REF!</v>
      </c>
      <c r="AA7" s="48" t="e">
        <f>ROUND('4_Anzeichnungsprotokoll'!#REF!/'4_Anzeichnungsprotokoll'!AJ62,2)</f>
        <v>#REF!</v>
      </c>
    </row>
    <row r="8" spans="1:27" ht="14.25">
      <c r="A8" s="15">
        <v>16.7</v>
      </c>
      <c r="C8">
        <v>7</v>
      </c>
      <c r="E8" s="15">
        <f t="shared" si="0"/>
        <v>0.23</v>
      </c>
      <c r="F8" s="15">
        <f t="shared" si="1"/>
        <v>7.0000000000000007E-2</v>
      </c>
      <c r="G8" s="6">
        <v>7</v>
      </c>
      <c r="I8" t="s">
        <v>108</v>
      </c>
      <c r="J8" s="4" t="e">
        <f t="shared" ref="J8:P8" si="6">MATCH(J7,$B:$B,1)</f>
        <v>#REF!</v>
      </c>
      <c r="K8" s="4" t="e">
        <f t="shared" si="6"/>
        <v>#REF!</v>
      </c>
      <c r="L8" s="4" t="e">
        <f t="shared" si="6"/>
        <v>#REF!</v>
      </c>
      <c r="M8" s="4" t="e">
        <f t="shared" si="6"/>
        <v>#REF!</v>
      </c>
      <c r="N8" s="4" t="e">
        <f t="shared" si="6"/>
        <v>#REF!</v>
      </c>
      <c r="O8" s="4" t="e">
        <f t="shared" si="6"/>
        <v>#REF!</v>
      </c>
      <c r="P8" s="4" t="e">
        <f t="shared" si="6"/>
        <v>#REF!</v>
      </c>
      <c r="Q8" s="4" t="e">
        <f t="shared" ref="Q8:Z8" si="7">MATCH(Q7,$B:$B,1)</f>
        <v>#REF!</v>
      </c>
      <c r="R8" s="4" t="e">
        <f t="shared" si="7"/>
        <v>#REF!</v>
      </c>
      <c r="S8" s="4" t="e">
        <f t="shared" si="7"/>
        <v>#REF!</v>
      </c>
      <c r="T8" s="4" t="e">
        <f t="shared" si="7"/>
        <v>#REF!</v>
      </c>
      <c r="U8" s="4" t="e">
        <f t="shared" si="7"/>
        <v>#REF!</v>
      </c>
      <c r="V8" s="4" t="e">
        <f t="shared" si="7"/>
        <v>#REF!</v>
      </c>
      <c r="W8" s="4" t="e">
        <f t="shared" si="7"/>
        <v>#REF!</v>
      </c>
      <c r="X8" s="4" t="e">
        <f t="shared" si="7"/>
        <v>#REF!</v>
      </c>
      <c r="Y8" s="4" t="e">
        <f t="shared" si="7"/>
        <v>#REF!</v>
      </c>
      <c r="Z8" s="4" t="e">
        <f t="shared" si="7"/>
        <v>#REF!</v>
      </c>
      <c r="AA8" s="4" t="e">
        <f>MATCH(AA7,$B:$B,1)</f>
        <v>#REF!</v>
      </c>
    </row>
    <row r="9" spans="1:27" ht="14.25">
      <c r="A9" s="15">
        <v>16.8</v>
      </c>
      <c r="C9">
        <v>8</v>
      </c>
      <c r="E9" s="15">
        <f t="shared" si="0"/>
        <v>0.24</v>
      </c>
      <c r="F9" s="15">
        <f t="shared" si="1"/>
        <v>7.0000000000000007E-2</v>
      </c>
      <c r="G9" s="65">
        <v>8</v>
      </c>
      <c r="H9" s="65"/>
      <c r="I9" s="9" t="s">
        <v>120</v>
      </c>
      <c r="J9" s="11" t="e">
        <f t="shared" ref="J9:P9" si="8">INDEX($A:$A,J8,1)</f>
        <v>#REF!</v>
      </c>
      <c r="K9" s="11" t="e">
        <f t="shared" si="8"/>
        <v>#REF!</v>
      </c>
      <c r="L9" s="11" t="e">
        <f t="shared" si="8"/>
        <v>#REF!</v>
      </c>
      <c r="M9" s="11" t="e">
        <f t="shared" si="8"/>
        <v>#REF!</v>
      </c>
      <c r="N9" s="11" t="e">
        <f t="shared" si="8"/>
        <v>#REF!</v>
      </c>
      <c r="O9" s="11" t="e">
        <f t="shared" si="8"/>
        <v>#REF!</v>
      </c>
      <c r="P9" s="11" t="e">
        <f t="shared" si="8"/>
        <v>#REF!</v>
      </c>
      <c r="Q9" s="11" t="e">
        <f t="shared" ref="Q9:Z9" si="9">INDEX($A:$A,Q8,1)</f>
        <v>#REF!</v>
      </c>
      <c r="R9" s="11" t="e">
        <f t="shared" si="9"/>
        <v>#REF!</v>
      </c>
      <c r="S9" s="11" t="e">
        <f t="shared" si="9"/>
        <v>#REF!</v>
      </c>
      <c r="T9" s="11" t="e">
        <f t="shared" si="9"/>
        <v>#REF!</v>
      </c>
      <c r="U9" s="11" t="e">
        <f t="shared" si="9"/>
        <v>#REF!</v>
      </c>
      <c r="V9" s="11" t="e">
        <f t="shared" si="9"/>
        <v>#REF!</v>
      </c>
      <c r="W9" s="11" t="e">
        <f t="shared" si="9"/>
        <v>#REF!</v>
      </c>
      <c r="X9" s="11" t="e">
        <f t="shared" si="9"/>
        <v>#REF!</v>
      </c>
      <c r="Y9" s="11" t="e">
        <f t="shared" si="9"/>
        <v>#REF!</v>
      </c>
      <c r="Z9" s="11" t="e">
        <f t="shared" si="9"/>
        <v>#REF!</v>
      </c>
      <c r="AA9" s="11" t="e">
        <f>INDEX($A:$A,AA8,1)</f>
        <v>#REF!</v>
      </c>
    </row>
    <row r="10" spans="1:27">
      <c r="A10" s="15">
        <v>16.899999999999999</v>
      </c>
      <c r="C10">
        <v>9</v>
      </c>
      <c r="E10" s="15">
        <f t="shared" si="0"/>
        <v>0.24</v>
      </c>
      <c r="F10" s="15">
        <f t="shared" si="1"/>
        <v>7.0000000000000007E-2</v>
      </c>
      <c r="G10" s="6">
        <v>9</v>
      </c>
      <c r="O10" s="7"/>
      <c r="P10" s="7"/>
      <c r="Q10" s="7"/>
      <c r="R10" s="7"/>
      <c r="S10" s="7"/>
      <c r="T10" s="7"/>
      <c r="U10" s="7"/>
      <c r="V10" s="7"/>
      <c r="W10" s="7"/>
    </row>
    <row r="11" spans="1:27">
      <c r="A11" s="15">
        <v>17</v>
      </c>
      <c r="C11">
        <v>10</v>
      </c>
      <c r="E11" s="15">
        <f t="shared" si="0"/>
        <v>0.24</v>
      </c>
      <c r="F11" s="15">
        <f t="shared" si="1"/>
        <v>7.0000000000000007E-2</v>
      </c>
      <c r="G11" s="65">
        <v>10</v>
      </c>
      <c r="H11" s="65"/>
      <c r="I11" s="9"/>
      <c r="J11" s="9"/>
      <c r="K11" s="9"/>
      <c r="L11" s="9"/>
      <c r="N11" s="7"/>
      <c r="O11" s="7"/>
      <c r="P11" s="7"/>
      <c r="Q11" s="7"/>
      <c r="R11" s="7"/>
      <c r="S11" s="7"/>
      <c r="T11" s="7"/>
      <c r="U11" s="7"/>
      <c r="V11" s="7"/>
      <c r="W11" s="7"/>
    </row>
    <row r="12" spans="1:27">
      <c r="A12" s="15">
        <v>17.100000000000001</v>
      </c>
      <c r="C12">
        <v>11</v>
      </c>
      <c r="E12" s="15">
        <f t="shared" si="0"/>
        <v>0.24</v>
      </c>
      <c r="F12" s="15">
        <f t="shared" si="1"/>
        <v>7.0000000000000007E-2</v>
      </c>
      <c r="G12" s="6">
        <v>11</v>
      </c>
      <c r="I12" s="9"/>
      <c r="J12" s="10"/>
      <c r="N12" s="7"/>
      <c r="O12" s="7"/>
      <c r="P12" s="7"/>
      <c r="Q12" s="7"/>
      <c r="R12" s="7"/>
      <c r="S12" s="7"/>
      <c r="T12" s="7"/>
      <c r="U12" s="7"/>
      <c r="V12" s="7"/>
      <c r="W12" s="7"/>
    </row>
    <row r="13" spans="1:27" ht="28.5">
      <c r="A13" s="15">
        <v>17.2</v>
      </c>
      <c r="C13">
        <v>12</v>
      </c>
      <c r="E13" s="15">
        <f t="shared" si="0"/>
        <v>0.24</v>
      </c>
      <c r="F13" s="15">
        <f t="shared" si="1"/>
        <v>7.0000000000000007E-2</v>
      </c>
      <c r="G13" s="65">
        <v>12</v>
      </c>
      <c r="H13" s="65"/>
      <c r="I13" s="9" t="s">
        <v>109</v>
      </c>
      <c r="J13" s="461" t="s">
        <v>995</v>
      </c>
      <c r="K13" s="461" t="s">
        <v>996</v>
      </c>
      <c r="L13" s="461" t="s">
        <v>997</v>
      </c>
      <c r="M13" s="461" t="s">
        <v>998</v>
      </c>
      <c r="N13" s="461" t="s">
        <v>999</v>
      </c>
      <c r="O13" s="461" t="s">
        <v>1000</v>
      </c>
      <c r="P13" s="461" t="s">
        <v>1001</v>
      </c>
      <c r="Q13" s="461" t="s">
        <v>1002</v>
      </c>
      <c r="R13" s="7"/>
      <c r="S13" s="7"/>
      <c r="T13" s="7"/>
      <c r="U13" s="7"/>
      <c r="V13" s="7"/>
      <c r="W13" s="7"/>
    </row>
    <row r="14" spans="1:27">
      <c r="A14" s="15">
        <v>17.3</v>
      </c>
      <c r="C14">
        <v>13</v>
      </c>
      <c r="E14" s="15">
        <f t="shared" si="0"/>
        <v>0.25</v>
      </c>
      <c r="F14" s="15">
        <f t="shared" si="1"/>
        <v>7.0000000000000007E-2</v>
      </c>
      <c r="G14" s="6">
        <v>13</v>
      </c>
      <c r="I14" s="47" t="s">
        <v>89</v>
      </c>
      <c r="J14" s="10">
        <f>'4_Anzeichnungsprotokoll'!F50</f>
        <v>0</v>
      </c>
      <c r="K14" s="10">
        <f>'4_Anzeichnungsprotokoll'!I50</f>
        <v>0</v>
      </c>
      <c r="L14" s="10">
        <f>'4_Anzeichnungsprotokoll'!L50</f>
        <v>0</v>
      </c>
      <c r="M14" s="10">
        <f>'4_Anzeichnungsprotokoll'!O50</f>
        <v>0</v>
      </c>
      <c r="N14" s="10">
        <f>'4_Anzeichnungsprotokoll'!R50</f>
        <v>0</v>
      </c>
      <c r="O14" s="10">
        <f>'4_Anzeichnungsprotokoll'!U50</f>
        <v>0</v>
      </c>
      <c r="P14" s="10">
        <f>'4_Anzeichnungsprotokoll'!X50</f>
        <v>0</v>
      </c>
      <c r="Q14" s="10">
        <f>'4_Anzeichnungsprotokoll'!AA50</f>
        <v>0</v>
      </c>
      <c r="R14" s="7"/>
      <c r="S14" s="7"/>
      <c r="T14" s="7"/>
      <c r="U14" s="7"/>
      <c r="V14" s="7"/>
      <c r="W14" s="7"/>
    </row>
    <row r="15" spans="1:27" ht="14.25">
      <c r="A15" s="15">
        <v>17.399999999999999</v>
      </c>
      <c r="C15">
        <v>14</v>
      </c>
      <c r="E15" s="15">
        <f t="shared" si="0"/>
        <v>0.25</v>
      </c>
      <c r="F15" s="15">
        <f t="shared" si="1"/>
        <v>7.0000000000000007E-2</v>
      </c>
      <c r="G15" s="65">
        <v>14</v>
      </c>
      <c r="H15" s="65"/>
      <c r="I15" t="s">
        <v>108</v>
      </c>
      <c r="J15" s="4" t="e">
        <f t="shared" ref="J15:Q15" si="10">MATCH(J14,$B:$B,1)</f>
        <v>#N/A</v>
      </c>
      <c r="K15" s="4" t="e">
        <f t="shared" si="10"/>
        <v>#N/A</v>
      </c>
      <c r="L15" s="4" t="e">
        <f t="shared" si="10"/>
        <v>#N/A</v>
      </c>
      <c r="M15" s="4" t="e">
        <f t="shared" si="10"/>
        <v>#N/A</v>
      </c>
      <c r="N15" s="4" t="e">
        <f t="shared" si="10"/>
        <v>#N/A</v>
      </c>
      <c r="O15" s="4" t="e">
        <f t="shared" si="10"/>
        <v>#N/A</v>
      </c>
      <c r="P15" s="4" t="e">
        <f t="shared" si="10"/>
        <v>#N/A</v>
      </c>
      <c r="Q15" s="4" t="e">
        <f t="shared" si="10"/>
        <v>#N/A</v>
      </c>
      <c r="R15" s="7"/>
      <c r="S15" s="7"/>
      <c r="T15" s="7"/>
      <c r="U15" s="7"/>
      <c r="V15" s="7"/>
      <c r="W15" s="7"/>
    </row>
    <row r="16" spans="1:27" ht="14.25">
      <c r="A16" s="15">
        <v>17.5</v>
      </c>
      <c r="C16">
        <v>15</v>
      </c>
      <c r="E16" s="15">
        <f t="shared" si="0"/>
        <v>0.25</v>
      </c>
      <c r="F16" s="15">
        <f t="shared" si="1"/>
        <v>0.08</v>
      </c>
      <c r="G16" s="6">
        <v>15</v>
      </c>
      <c r="I16" s="9" t="s">
        <v>111</v>
      </c>
      <c r="J16" s="462" t="e">
        <f>ROUND(INDEX($A:$A,J15,1),0)</f>
        <v>#N/A</v>
      </c>
      <c r="K16" s="462" t="e">
        <f t="shared" ref="K16:Q16" si="11">ROUND(INDEX($A:$A,K15,1),0)</f>
        <v>#N/A</v>
      </c>
      <c r="L16" s="462" t="e">
        <f t="shared" si="11"/>
        <v>#N/A</v>
      </c>
      <c r="M16" s="462" t="e">
        <f t="shared" si="11"/>
        <v>#N/A</v>
      </c>
      <c r="N16" s="462" t="e">
        <f t="shared" si="11"/>
        <v>#N/A</v>
      </c>
      <c r="O16" s="462" t="e">
        <f t="shared" si="11"/>
        <v>#N/A</v>
      </c>
      <c r="P16" s="462" t="e">
        <f t="shared" si="11"/>
        <v>#N/A</v>
      </c>
      <c r="Q16" s="462" t="e">
        <f t="shared" si="11"/>
        <v>#N/A</v>
      </c>
      <c r="R16" s="7"/>
      <c r="S16" s="7"/>
      <c r="T16" s="7"/>
      <c r="U16" s="7"/>
      <c r="V16" s="7"/>
      <c r="W16" s="7"/>
    </row>
    <row r="17" spans="1:23">
      <c r="A17" s="15">
        <v>17.600000000000001</v>
      </c>
      <c r="C17">
        <v>16</v>
      </c>
      <c r="E17" s="15">
        <f t="shared" si="0"/>
        <v>0.25</v>
      </c>
      <c r="F17" s="15">
        <f t="shared" si="1"/>
        <v>0.08</v>
      </c>
      <c r="G17" s="65">
        <v>16</v>
      </c>
      <c r="H17" s="65"/>
      <c r="M17" s="7"/>
      <c r="N17" s="16"/>
      <c r="O17" s="7"/>
      <c r="P17" s="7"/>
      <c r="Q17" s="7"/>
      <c r="R17" s="7"/>
      <c r="S17" s="7"/>
      <c r="T17" s="7"/>
      <c r="U17" s="7"/>
      <c r="V17" s="7"/>
      <c r="W17" s="7"/>
    </row>
    <row r="18" spans="1:23">
      <c r="A18" s="15">
        <v>17.7</v>
      </c>
      <c r="C18">
        <v>17</v>
      </c>
      <c r="E18" s="15">
        <f t="shared" si="0"/>
        <v>0.25</v>
      </c>
      <c r="F18" s="15">
        <f t="shared" si="1"/>
        <v>0.08</v>
      </c>
      <c r="G18" s="6">
        <v>17</v>
      </c>
      <c r="M18" s="7"/>
      <c r="N18" s="7"/>
      <c r="O18" s="7"/>
      <c r="P18" s="7"/>
      <c r="Q18" s="7"/>
      <c r="R18" s="7"/>
      <c r="S18" s="7"/>
      <c r="T18" s="7"/>
      <c r="U18" s="7"/>
      <c r="V18" s="7"/>
      <c r="W18" s="7"/>
    </row>
    <row r="19" spans="1:23">
      <c r="A19" s="15">
        <v>17.8</v>
      </c>
      <c r="C19">
        <v>18</v>
      </c>
      <c r="E19" s="15">
        <f t="shared" si="0"/>
        <v>0.26</v>
      </c>
      <c r="F19" s="15">
        <f t="shared" si="1"/>
        <v>0.08</v>
      </c>
      <c r="G19" s="65">
        <v>18</v>
      </c>
      <c r="H19" s="65"/>
      <c r="M19" s="7"/>
      <c r="N19" s="7"/>
      <c r="O19" s="7"/>
      <c r="P19" s="7"/>
      <c r="Q19" s="7"/>
      <c r="R19" s="7"/>
      <c r="S19" s="7"/>
      <c r="T19" s="7"/>
      <c r="U19" s="7"/>
      <c r="V19" s="7"/>
      <c r="W19" s="7"/>
    </row>
    <row r="20" spans="1:23">
      <c r="A20" s="15">
        <v>17.899999999999999</v>
      </c>
      <c r="C20">
        <v>19</v>
      </c>
      <c r="E20" s="15">
        <f t="shared" si="0"/>
        <v>0.26</v>
      </c>
      <c r="F20" s="15">
        <f t="shared" si="1"/>
        <v>0.08</v>
      </c>
      <c r="G20" s="6">
        <v>19</v>
      </c>
      <c r="M20" s="7"/>
      <c r="N20" s="7"/>
      <c r="O20" s="7"/>
      <c r="P20" s="7"/>
      <c r="Q20" s="7"/>
      <c r="R20" s="7"/>
      <c r="S20" s="7"/>
      <c r="T20" s="7"/>
      <c r="U20" s="7"/>
      <c r="V20" s="7"/>
      <c r="W20" s="7"/>
    </row>
    <row r="21" spans="1:23">
      <c r="A21" s="17">
        <v>18</v>
      </c>
      <c r="B21" s="44">
        <f>'4_Anzeichnungsprotokoll'!E26</f>
        <v>0.25</v>
      </c>
      <c r="C21" s="18">
        <v>0</v>
      </c>
      <c r="E21" s="15">
        <f t="shared" si="0"/>
        <v>0.26</v>
      </c>
      <c r="F21" s="15">
        <f t="shared" si="1"/>
        <v>0.08</v>
      </c>
      <c r="G21" s="65">
        <v>20</v>
      </c>
      <c r="H21" s="65"/>
      <c r="M21" s="7"/>
      <c r="N21" s="7"/>
      <c r="O21" s="7"/>
      <c r="P21" s="7"/>
      <c r="Q21" s="7"/>
      <c r="R21" s="7"/>
      <c r="S21" s="7"/>
      <c r="T21" s="7"/>
      <c r="U21" s="7"/>
      <c r="V21" s="7"/>
      <c r="W21" s="7"/>
    </row>
    <row r="22" spans="1:23">
      <c r="A22" s="15">
        <v>18.100000000000001</v>
      </c>
      <c r="B22" s="45">
        <f>ROUND(((B$61-B$21)/40*C22+B$21),2)</f>
        <v>0.25</v>
      </c>
      <c r="C22">
        <v>1</v>
      </c>
      <c r="E22" s="15">
        <f t="shared" si="0"/>
        <v>0.26</v>
      </c>
      <c r="F22" s="15">
        <f t="shared" si="1"/>
        <v>0.08</v>
      </c>
      <c r="G22" s="6">
        <v>21</v>
      </c>
      <c r="M22" s="7"/>
      <c r="N22" s="7"/>
      <c r="O22" s="7"/>
      <c r="P22" s="7"/>
      <c r="Q22" s="7"/>
      <c r="R22" s="7"/>
      <c r="S22" s="7"/>
      <c r="T22" s="7"/>
      <c r="U22" s="7"/>
      <c r="V22" s="7"/>
      <c r="W22" s="7"/>
    </row>
    <row r="23" spans="1:23">
      <c r="A23" s="15">
        <v>18.2</v>
      </c>
      <c r="B23" s="45">
        <f t="shared" ref="B23:B60" si="12">ROUND(((B$61-B$21)/40*C23+B$21),2)</f>
        <v>0.26</v>
      </c>
      <c r="C23">
        <v>2</v>
      </c>
      <c r="E23" s="15">
        <f t="shared" si="0"/>
        <v>0.26</v>
      </c>
      <c r="F23" s="15">
        <f t="shared" si="1"/>
        <v>0.08</v>
      </c>
      <c r="G23" s="65">
        <v>22</v>
      </c>
      <c r="H23" s="65"/>
      <c r="M23" s="7"/>
      <c r="N23" s="7"/>
      <c r="O23" s="7"/>
      <c r="P23" s="7"/>
      <c r="Q23" s="7"/>
      <c r="R23" s="7"/>
      <c r="S23" s="7"/>
      <c r="T23" s="7"/>
      <c r="U23" s="7"/>
      <c r="V23" s="7"/>
      <c r="W23" s="7"/>
    </row>
    <row r="24" spans="1:23">
      <c r="A24" s="15">
        <v>18.3</v>
      </c>
      <c r="B24" s="45">
        <f t="shared" si="12"/>
        <v>0.26</v>
      </c>
      <c r="C24">
        <v>3</v>
      </c>
      <c r="E24" s="15">
        <f t="shared" si="0"/>
        <v>0.27</v>
      </c>
      <c r="F24" s="15">
        <f t="shared" si="1"/>
        <v>0.08</v>
      </c>
      <c r="G24" s="6">
        <v>23</v>
      </c>
      <c r="M24" s="7"/>
      <c r="N24" s="7"/>
      <c r="O24" s="7"/>
      <c r="P24" s="7"/>
      <c r="Q24" s="7"/>
      <c r="R24" s="7"/>
      <c r="S24" s="7"/>
      <c r="T24" s="7"/>
      <c r="U24" s="7"/>
      <c r="V24" s="7"/>
      <c r="W24" s="7"/>
    </row>
    <row r="25" spans="1:23">
      <c r="A25" s="15">
        <v>18.399999999999999</v>
      </c>
      <c r="B25" s="45">
        <f t="shared" si="12"/>
        <v>0.27</v>
      </c>
      <c r="C25">
        <v>4</v>
      </c>
      <c r="E25" s="15">
        <f t="shared" si="0"/>
        <v>0.27</v>
      </c>
      <c r="F25" s="15">
        <f t="shared" si="1"/>
        <v>0.08</v>
      </c>
      <c r="G25" s="65">
        <v>24</v>
      </c>
      <c r="H25" s="65"/>
      <c r="M25" s="7"/>
      <c r="N25" s="7"/>
      <c r="O25" s="7"/>
      <c r="P25" s="7"/>
      <c r="Q25" s="7"/>
      <c r="R25" s="7"/>
      <c r="S25" s="7"/>
      <c r="T25" s="7"/>
      <c r="U25" s="7"/>
      <c r="V25" s="7"/>
      <c r="W25" s="7"/>
    </row>
    <row r="26" spans="1:23">
      <c r="A26" s="15">
        <v>18.5</v>
      </c>
      <c r="B26" s="45">
        <f t="shared" si="12"/>
        <v>0.27</v>
      </c>
      <c r="C26">
        <v>5</v>
      </c>
      <c r="E26" s="15">
        <f t="shared" si="0"/>
        <v>0.27</v>
      </c>
      <c r="F26" s="15">
        <f t="shared" si="1"/>
        <v>0.09</v>
      </c>
      <c r="G26" s="6">
        <v>25</v>
      </c>
      <c r="M26" s="7"/>
      <c r="N26" s="7"/>
      <c r="O26" s="7"/>
      <c r="P26" s="7"/>
      <c r="Q26" s="7"/>
      <c r="R26" s="7"/>
      <c r="S26" s="7"/>
      <c r="T26" s="7"/>
      <c r="U26" s="7"/>
      <c r="V26" s="7"/>
      <c r="W26" s="7"/>
    </row>
    <row r="27" spans="1:23">
      <c r="A27" s="15">
        <v>18.600000000000001</v>
      </c>
      <c r="B27" s="45">
        <f t="shared" si="12"/>
        <v>0.27</v>
      </c>
      <c r="C27">
        <v>6</v>
      </c>
      <c r="E27" s="15">
        <f t="shared" si="0"/>
        <v>0.27</v>
      </c>
      <c r="F27" s="15">
        <f t="shared" si="1"/>
        <v>0.09</v>
      </c>
      <c r="G27" s="65">
        <v>26</v>
      </c>
      <c r="H27" s="65"/>
      <c r="M27" s="7"/>
      <c r="N27" s="7"/>
      <c r="O27" s="7"/>
      <c r="P27" s="7"/>
      <c r="Q27" s="7"/>
      <c r="R27" s="7"/>
      <c r="S27" s="7"/>
      <c r="T27" s="7"/>
      <c r="U27" s="7"/>
      <c r="V27" s="7"/>
      <c r="W27" s="7"/>
    </row>
    <row r="28" spans="1:23">
      <c r="A28" s="15">
        <v>18.7</v>
      </c>
      <c r="B28" s="45">
        <f t="shared" si="12"/>
        <v>0.28000000000000003</v>
      </c>
      <c r="C28">
        <v>7</v>
      </c>
      <c r="E28" s="15">
        <f t="shared" si="0"/>
        <v>0.27</v>
      </c>
      <c r="F28" s="15">
        <f t="shared" si="1"/>
        <v>0.09</v>
      </c>
      <c r="G28" s="6">
        <v>27</v>
      </c>
      <c r="M28" s="7"/>
      <c r="N28" s="7"/>
      <c r="O28" s="7"/>
      <c r="P28" s="7"/>
      <c r="Q28" s="7"/>
      <c r="R28" s="7"/>
      <c r="S28" s="7"/>
      <c r="T28" s="7"/>
      <c r="U28" s="7"/>
      <c r="V28" s="7"/>
      <c r="W28" s="7"/>
    </row>
    <row r="29" spans="1:23">
      <c r="A29" s="15">
        <v>18.8</v>
      </c>
      <c r="B29" s="45">
        <f t="shared" si="12"/>
        <v>0.28000000000000003</v>
      </c>
      <c r="C29">
        <v>8</v>
      </c>
      <c r="E29" s="15">
        <f t="shared" si="0"/>
        <v>0.28000000000000003</v>
      </c>
      <c r="F29" s="15">
        <f t="shared" si="1"/>
        <v>0.09</v>
      </c>
      <c r="G29" s="65">
        <v>28</v>
      </c>
      <c r="H29" s="65"/>
      <c r="M29" s="7"/>
      <c r="N29" s="7"/>
      <c r="O29" s="7"/>
      <c r="P29" s="7"/>
      <c r="Q29" s="7"/>
      <c r="R29" s="7"/>
      <c r="S29" s="7"/>
      <c r="T29" s="7"/>
      <c r="U29" s="7"/>
      <c r="V29" s="7"/>
      <c r="W29" s="7"/>
    </row>
    <row r="30" spans="1:23">
      <c r="A30" s="15">
        <v>18.899999999999999</v>
      </c>
      <c r="B30" s="45">
        <f t="shared" si="12"/>
        <v>0.28000000000000003</v>
      </c>
      <c r="C30">
        <v>9</v>
      </c>
      <c r="E30" s="15">
        <f t="shared" si="0"/>
        <v>0.28000000000000003</v>
      </c>
      <c r="F30" s="15">
        <f t="shared" si="1"/>
        <v>0.09</v>
      </c>
      <c r="G30" s="6">
        <v>29</v>
      </c>
    </row>
    <row r="31" spans="1:23">
      <c r="A31" s="15">
        <v>19</v>
      </c>
      <c r="B31" s="45">
        <f t="shared" si="12"/>
        <v>0.28999999999999998</v>
      </c>
      <c r="C31">
        <v>10</v>
      </c>
      <c r="E31" s="15">
        <f t="shared" si="0"/>
        <v>0.28000000000000003</v>
      </c>
      <c r="F31" s="15">
        <f t="shared" si="1"/>
        <v>0.09</v>
      </c>
      <c r="G31" s="65">
        <v>30</v>
      </c>
      <c r="H31" s="65"/>
    </row>
    <row r="32" spans="1:23">
      <c r="A32" s="15">
        <v>19.100000000000001</v>
      </c>
      <c r="B32" s="45">
        <f t="shared" si="12"/>
        <v>0.28999999999999998</v>
      </c>
      <c r="C32">
        <v>11</v>
      </c>
      <c r="E32" s="15">
        <f t="shared" si="0"/>
        <v>0.28000000000000003</v>
      </c>
      <c r="F32" s="15">
        <f t="shared" si="1"/>
        <v>0.09</v>
      </c>
      <c r="G32" s="6">
        <v>31</v>
      </c>
    </row>
    <row r="33" spans="1:8">
      <c r="A33" s="15">
        <v>19.2</v>
      </c>
      <c r="B33" s="45">
        <f t="shared" si="12"/>
        <v>0.3</v>
      </c>
      <c r="C33">
        <v>12</v>
      </c>
      <c r="E33" s="15">
        <f t="shared" si="0"/>
        <v>0.28000000000000003</v>
      </c>
      <c r="F33" s="15">
        <f t="shared" si="1"/>
        <v>0.09</v>
      </c>
      <c r="G33" s="65">
        <v>32</v>
      </c>
      <c r="H33" s="65"/>
    </row>
    <row r="34" spans="1:8">
      <c r="A34" s="15">
        <v>19.3</v>
      </c>
      <c r="B34" s="45">
        <f t="shared" si="12"/>
        <v>0.3</v>
      </c>
      <c r="C34">
        <v>13</v>
      </c>
      <c r="E34" s="15">
        <f t="shared" si="0"/>
        <v>0.28999999999999998</v>
      </c>
      <c r="F34" s="15">
        <f t="shared" si="1"/>
        <v>0.09</v>
      </c>
      <c r="G34" s="6">
        <v>33</v>
      </c>
    </row>
    <row r="35" spans="1:8">
      <c r="A35" s="15">
        <v>19.399999999999999</v>
      </c>
      <c r="B35" s="45">
        <f t="shared" si="12"/>
        <v>0.3</v>
      </c>
      <c r="C35">
        <v>14</v>
      </c>
      <c r="E35" s="15">
        <f t="shared" si="0"/>
        <v>0.28999999999999998</v>
      </c>
      <c r="F35" s="15">
        <f t="shared" si="1"/>
        <v>0.09</v>
      </c>
      <c r="G35" s="65">
        <v>34</v>
      </c>
      <c r="H35" s="65"/>
    </row>
    <row r="36" spans="1:8">
      <c r="A36" s="15">
        <v>19.5</v>
      </c>
      <c r="B36" s="45">
        <f t="shared" si="12"/>
        <v>0.31</v>
      </c>
      <c r="C36">
        <v>15</v>
      </c>
      <c r="E36" s="15">
        <f t="shared" si="0"/>
        <v>0.28999999999999998</v>
      </c>
      <c r="F36" s="15">
        <f t="shared" si="1"/>
        <v>0.1</v>
      </c>
      <c r="G36" s="6">
        <v>35</v>
      </c>
    </row>
    <row r="37" spans="1:8">
      <c r="A37" s="15">
        <v>19.600000000000001</v>
      </c>
      <c r="B37" s="45">
        <f t="shared" si="12"/>
        <v>0.31</v>
      </c>
      <c r="C37">
        <v>16</v>
      </c>
      <c r="E37" s="15">
        <f t="shared" si="0"/>
        <v>0.28999999999999998</v>
      </c>
      <c r="F37" s="15">
        <f t="shared" si="1"/>
        <v>0.1</v>
      </c>
      <c r="G37" s="65">
        <v>36</v>
      </c>
      <c r="H37" s="65"/>
    </row>
    <row r="38" spans="1:8">
      <c r="A38" s="15">
        <v>19.7</v>
      </c>
      <c r="B38" s="45">
        <f t="shared" si="12"/>
        <v>0.31</v>
      </c>
      <c r="C38">
        <v>17</v>
      </c>
      <c r="E38" s="15">
        <f t="shared" si="0"/>
        <v>0.28999999999999998</v>
      </c>
      <c r="F38" s="15">
        <f t="shared" si="1"/>
        <v>0.1</v>
      </c>
      <c r="G38" s="6">
        <v>37</v>
      </c>
    </row>
    <row r="39" spans="1:8">
      <c r="A39" s="15">
        <v>19.8</v>
      </c>
      <c r="B39" s="45">
        <f t="shared" si="12"/>
        <v>0.32</v>
      </c>
      <c r="C39">
        <v>18</v>
      </c>
      <c r="E39" s="15">
        <f t="shared" si="0"/>
        <v>0.3</v>
      </c>
      <c r="F39" s="15">
        <f t="shared" si="1"/>
        <v>0.1</v>
      </c>
      <c r="G39" s="65">
        <v>38</v>
      </c>
      <c r="H39" s="65"/>
    </row>
    <row r="40" spans="1:8">
      <c r="A40" s="15">
        <v>19.899999999999999</v>
      </c>
      <c r="B40" s="45">
        <f t="shared" si="12"/>
        <v>0.32</v>
      </c>
      <c r="C40">
        <v>19</v>
      </c>
      <c r="E40" s="15">
        <f t="shared" si="0"/>
        <v>0.3</v>
      </c>
      <c r="F40" s="15">
        <f t="shared" si="1"/>
        <v>0.1</v>
      </c>
      <c r="G40" s="6">
        <v>39</v>
      </c>
    </row>
    <row r="41" spans="1:8">
      <c r="A41" s="15">
        <v>20</v>
      </c>
      <c r="B41" s="45">
        <f t="shared" si="12"/>
        <v>0.33</v>
      </c>
      <c r="C41">
        <v>20</v>
      </c>
      <c r="E41" s="15">
        <f t="shared" si="0"/>
        <v>0.3</v>
      </c>
      <c r="F41" s="15">
        <f t="shared" si="1"/>
        <v>0.1</v>
      </c>
      <c r="G41" s="65">
        <v>40</v>
      </c>
      <c r="H41" s="65"/>
    </row>
    <row r="42" spans="1:8">
      <c r="A42" s="15">
        <v>20.100000000000001</v>
      </c>
      <c r="B42" s="45">
        <f t="shared" si="12"/>
        <v>0.33</v>
      </c>
      <c r="C42">
        <v>21</v>
      </c>
      <c r="E42" s="15">
        <f t="shared" si="0"/>
        <v>0.3</v>
      </c>
      <c r="F42" s="15">
        <f t="shared" si="1"/>
        <v>0.1</v>
      </c>
      <c r="G42" s="6">
        <v>41</v>
      </c>
    </row>
    <row r="43" spans="1:8">
      <c r="A43" s="15">
        <v>20.2</v>
      </c>
      <c r="B43" s="45">
        <f t="shared" si="12"/>
        <v>0.33</v>
      </c>
      <c r="C43">
        <v>22</v>
      </c>
      <c r="E43" s="15">
        <f t="shared" si="0"/>
        <v>0.3</v>
      </c>
      <c r="F43" s="15">
        <f t="shared" si="1"/>
        <v>0.1</v>
      </c>
      <c r="G43" s="65">
        <v>42</v>
      </c>
      <c r="H43" s="65"/>
    </row>
    <row r="44" spans="1:8">
      <c r="A44" s="15">
        <v>20.3</v>
      </c>
      <c r="B44" s="45">
        <f t="shared" si="12"/>
        <v>0.34</v>
      </c>
      <c r="C44">
        <v>23</v>
      </c>
      <c r="E44" s="15">
        <f t="shared" si="0"/>
        <v>0.31</v>
      </c>
      <c r="F44" s="15">
        <f t="shared" si="1"/>
        <v>0.1</v>
      </c>
      <c r="G44" s="6">
        <v>43</v>
      </c>
    </row>
    <row r="45" spans="1:8">
      <c r="A45" s="15">
        <v>20.399999999999999</v>
      </c>
      <c r="B45" s="45">
        <f t="shared" si="12"/>
        <v>0.34</v>
      </c>
      <c r="C45">
        <v>24</v>
      </c>
      <c r="E45" s="15">
        <f t="shared" si="0"/>
        <v>0.31</v>
      </c>
      <c r="F45" s="15">
        <f t="shared" si="1"/>
        <v>0.1</v>
      </c>
      <c r="G45" s="65">
        <v>44</v>
      </c>
      <c r="H45" s="65"/>
    </row>
    <row r="46" spans="1:8">
      <c r="A46" s="15">
        <v>20.5</v>
      </c>
      <c r="B46" s="45">
        <f t="shared" si="12"/>
        <v>0.34</v>
      </c>
      <c r="C46">
        <v>25</v>
      </c>
      <c r="E46" s="15">
        <f t="shared" si="0"/>
        <v>0.31</v>
      </c>
      <c r="F46" s="15">
        <f t="shared" si="1"/>
        <v>0.11</v>
      </c>
      <c r="G46" s="6">
        <v>45</v>
      </c>
    </row>
    <row r="47" spans="1:8">
      <c r="A47" s="15">
        <v>20.6</v>
      </c>
      <c r="B47" s="45">
        <f t="shared" si="12"/>
        <v>0.35</v>
      </c>
      <c r="C47">
        <v>26</v>
      </c>
      <c r="E47" s="15">
        <f t="shared" si="0"/>
        <v>0.31</v>
      </c>
      <c r="F47" s="15">
        <f t="shared" si="1"/>
        <v>0.11</v>
      </c>
      <c r="G47" s="65">
        <v>46</v>
      </c>
      <c r="H47" s="65"/>
    </row>
    <row r="48" spans="1:8">
      <c r="A48" s="15">
        <v>20.7</v>
      </c>
      <c r="B48" s="45">
        <f t="shared" si="12"/>
        <v>0.35</v>
      </c>
      <c r="C48">
        <v>27</v>
      </c>
      <c r="E48" s="15">
        <f t="shared" si="0"/>
        <v>0.31</v>
      </c>
      <c r="F48" s="15">
        <f t="shared" si="1"/>
        <v>0.11</v>
      </c>
      <c r="G48" s="6">
        <v>47</v>
      </c>
    </row>
    <row r="49" spans="1:8">
      <c r="A49" s="15">
        <v>20.8</v>
      </c>
      <c r="B49" s="45">
        <f t="shared" si="12"/>
        <v>0.36</v>
      </c>
      <c r="C49">
        <v>28</v>
      </c>
      <c r="E49" s="15">
        <f t="shared" si="0"/>
        <v>0.32</v>
      </c>
      <c r="F49" s="15">
        <f t="shared" si="1"/>
        <v>0.11</v>
      </c>
      <c r="G49" s="65">
        <v>48</v>
      </c>
      <c r="H49" s="65"/>
    </row>
    <row r="50" spans="1:8">
      <c r="A50" s="15">
        <v>20.9</v>
      </c>
      <c r="B50" s="45">
        <f t="shared" si="12"/>
        <v>0.36</v>
      </c>
      <c r="C50">
        <v>29</v>
      </c>
      <c r="E50" s="15">
        <f t="shared" si="0"/>
        <v>0.32</v>
      </c>
      <c r="F50" s="15">
        <f t="shared" si="1"/>
        <v>0.11</v>
      </c>
      <c r="G50" s="6">
        <v>49</v>
      </c>
    </row>
    <row r="51" spans="1:8">
      <c r="A51" s="15">
        <v>21</v>
      </c>
      <c r="B51" s="45">
        <f t="shared" si="12"/>
        <v>0.36</v>
      </c>
      <c r="C51">
        <v>30</v>
      </c>
      <c r="E51" s="15">
        <f t="shared" si="0"/>
        <v>0.32</v>
      </c>
      <c r="F51" s="15">
        <f t="shared" si="1"/>
        <v>0.11</v>
      </c>
      <c r="G51" s="65">
        <v>50</v>
      </c>
      <c r="H51" s="65"/>
    </row>
    <row r="52" spans="1:8">
      <c r="A52" s="15">
        <v>21.1</v>
      </c>
      <c r="B52" s="45">
        <f t="shared" si="12"/>
        <v>0.37</v>
      </c>
      <c r="C52">
        <v>31</v>
      </c>
      <c r="E52" s="15">
        <f t="shared" si="0"/>
        <v>0.32</v>
      </c>
      <c r="F52" s="15">
        <f t="shared" si="1"/>
        <v>0.11</v>
      </c>
      <c r="G52" s="6">
        <v>51</v>
      </c>
    </row>
    <row r="53" spans="1:8">
      <c r="A53" s="15">
        <v>21.2</v>
      </c>
      <c r="B53" s="45">
        <f t="shared" si="12"/>
        <v>0.37</v>
      </c>
      <c r="C53">
        <v>32</v>
      </c>
      <c r="E53" s="15">
        <f t="shared" si="0"/>
        <v>0.32</v>
      </c>
      <c r="F53" s="15">
        <f t="shared" si="1"/>
        <v>0.11</v>
      </c>
      <c r="G53" s="65">
        <v>52</v>
      </c>
      <c r="H53" s="65"/>
    </row>
    <row r="54" spans="1:8">
      <c r="A54" s="15">
        <v>21.3</v>
      </c>
      <c r="B54" s="45">
        <f t="shared" si="12"/>
        <v>0.37</v>
      </c>
      <c r="C54">
        <v>33</v>
      </c>
      <c r="E54" s="15">
        <f t="shared" si="0"/>
        <v>0.33</v>
      </c>
      <c r="F54" s="15">
        <f t="shared" si="1"/>
        <v>0.11</v>
      </c>
      <c r="G54" s="6">
        <v>53</v>
      </c>
    </row>
    <row r="55" spans="1:8">
      <c r="A55" s="15">
        <v>21.4</v>
      </c>
      <c r="B55" s="45">
        <f t="shared" si="12"/>
        <v>0.38</v>
      </c>
      <c r="C55">
        <v>34</v>
      </c>
      <c r="E55" s="15">
        <f t="shared" si="0"/>
        <v>0.33</v>
      </c>
      <c r="F55" s="15">
        <f t="shared" si="1"/>
        <v>0.11</v>
      </c>
      <c r="G55" s="65">
        <v>54</v>
      </c>
      <c r="H55" s="65"/>
    </row>
    <row r="56" spans="1:8">
      <c r="A56" s="15">
        <v>21.5</v>
      </c>
      <c r="B56" s="45">
        <f t="shared" si="12"/>
        <v>0.38</v>
      </c>
      <c r="C56">
        <v>35</v>
      </c>
      <c r="E56" s="15">
        <f t="shared" si="0"/>
        <v>0.33</v>
      </c>
      <c r="F56" s="15">
        <f t="shared" si="1"/>
        <v>0.12</v>
      </c>
      <c r="G56" s="6">
        <v>55</v>
      </c>
    </row>
    <row r="57" spans="1:8">
      <c r="A57" s="15">
        <v>21.6</v>
      </c>
      <c r="B57" s="45">
        <f t="shared" si="12"/>
        <v>0.39</v>
      </c>
      <c r="C57">
        <v>36</v>
      </c>
      <c r="E57" s="15">
        <f t="shared" si="0"/>
        <v>0.33</v>
      </c>
      <c r="F57" s="15">
        <f t="shared" si="1"/>
        <v>0.12</v>
      </c>
      <c r="G57" s="65">
        <v>56</v>
      </c>
      <c r="H57" s="65"/>
    </row>
    <row r="58" spans="1:8">
      <c r="A58" s="15">
        <v>21.7</v>
      </c>
      <c r="B58" s="45">
        <f t="shared" si="12"/>
        <v>0.39</v>
      </c>
      <c r="C58">
        <v>37</v>
      </c>
      <c r="E58" s="15">
        <f t="shared" si="0"/>
        <v>0.33</v>
      </c>
      <c r="F58" s="15">
        <f t="shared" si="1"/>
        <v>0.12</v>
      </c>
      <c r="G58" s="6">
        <v>57</v>
      </c>
    </row>
    <row r="59" spans="1:8">
      <c r="A59" s="15">
        <v>21.8</v>
      </c>
      <c r="B59" s="45">
        <f t="shared" si="12"/>
        <v>0.39</v>
      </c>
      <c r="C59">
        <v>38</v>
      </c>
      <c r="E59" s="15">
        <f t="shared" si="0"/>
        <v>0.34</v>
      </c>
      <c r="F59" s="15">
        <f t="shared" si="1"/>
        <v>0.12</v>
      </c>
      <c r="G59" s="65">
        <v>58</v>
      </c>
      <c r="H59" s="65"/>
    </row>
    <row r="60" spans="1:8">
      <c r="A60" s="15">
        <v>21.9</v>
      </c>
      <c r="B60" s="45">
        <f t="shared" si="12"/>
        <v>0.4</v>
      </c>
      <c r="C60">
        <v>39</v>
      </c>
      <c r="E60" s="15">
        <f t="shared" si="0"/>
        <v>0.34</v>
      </c>
      <c r="F60" s="15">
        <f t="shared" si="1"/>
        <v>0.12</v>
      </c>
      <c r="G60" s="6">
        <v>59</v>
      </c>
    </row>
    <row r="61" spans="1:8" s="9" customFormat="1">
      <c r="A61" s="17">
        <v>22</v>
      </c>
      <c r="B61" s="44">
        <f>'4_Anzeichnungsprotokoll'!E27</f>
        <v>0.4</v>
      </c>
      <c r="C61" s="18">
        <v>0</v>
      </c>
      <c r="E61" s="15">
        <f t="shared" si="0"/>
        <v>0.34</v>
      </c>
      <c r="F61" s="15">
        <f t="shared" si="1"/>
        <v>0.12</v>
      </c>
      <c r="G61" s="65">
        <v>60</v>
      </c>
      <c r="H61" s="65"/>
    </row>
    <row r="62" spans="1:8">
      <c r="A62" s="15">
        <v>22.100000000000101</v>
      </c>
      <c r="B62" s="45">
        <f>ROUND(((B$101-B$61)/40*C62+B$61),2)</f>
        <v>0.41</v>
      </c>
      <c r="C62">
        <v>1</v>
      </c>
      <c r="E62" s="15">
        <f t="shared" si="0"/>
        <v>0.34</v>
      </c>
      <c r="F62" s="15">
        <f t="shared" si="1"/>
        <v>0.12</v>
      </c>
      <c r="G62" s="6">
        <v>61</v>
      </c>
    </row>
    <row r="63" spans="1:8">
      <c r="A63" s="15">
        <v>22.2</v>
      </c>
      <c r="B63" s="45">
        <f t="shared" ref="B63:B100" si="13">ROUND(((B$101-B$61)/40*C63+B$61),2)</f>
        <v>0.41</v>
      </c>
      <c r="C63">
        <v>2</v>
      </c>
      <c r="E63" s="15">
        <f t="shared" si="0"/>
        <v>0.34</v>
      </c>
      <c r="F63" s="15">
        <f t="shared" si="1"/>
        <v>0.12</v>
      </c>
      <c r="G63" s="65">
        <v>62</v>
      </c>
      <c r="H63" s="65"/>
    </row>
    <row r="64" spans="1:8">
      <c r="A64" s="15">
        <v>22.3000000000001</v>
      </c>
      <c r="B64" s="45">
        <f t="shared" si="13"/>
        <v>0.42</v>
      </c>
      <c r="C64">
        <v>3</v>
      </c>
      <c r="E64" s="15">
        <f t="shared" si="0"/>
        <v>0.35</v>
      </c>
      <c r="F64" s="15">
        <f t="shared" si="1"/>
        <v>0.12</v>
      </c>
      <c r="G64" s="6">
        <v>63</v>
      </c>
    </row>
    <row r="65" spans="1:8">
      <c r="A65" s="15">
        <v>22.4</v>
      </c>
      <c r="B65" s="45">
        <f t="shared" si="13"/>
        <v>0.42</v>
      </c>
      <c r="C65">
        <v>4</v>
      </c>
      <c r="E65" s="15">
        <f t="shared" si="0"/>
        <v>0.35</v>
      </c>
      <c r="F65" s="15">
        <f t="shared" si="1"/>
        <v>0.12</v>
      </c>
      <c r="G65" s="65">
        <v>64</v>
      </c>
      <c r="H65" s="65"/>
    </row>
    <row r="66" spans="1:8">
      <c r="A66" s="15">
        <v>22.5</v>
      </c>
      <c r="B66" s="45">
        <f t="shared" si="13"/>
        <v>0.43</v>
      </c>
      <c r="C66">
        <v>5</v>
      </c>
      <c r="E66" s="15">
        <f t="shared" ref="E66:E129" si="14">ROUND((E$141-E$1)/140*G66+E$1,2)</f>
        <v>0.35</v>
      </c>
      <c r="F66" s="15">
        <f t="shared" ref="F66:F129" si="15">ROUND((F$141-F$1)/140*G66+F$1,2)</f>
        <v>0.13</v>
      </c>
      <c r="G66" s="6">
        <v>65</v>
      </c>
    </row>
    <row r="67" spans="1:8">
      <c r="A67" s="15">
        <v>22.600000000000101</v>
      </c>
      <c r="B67" s="45">
        <f t="shared" si="13"/>
        <v>0.43</v>
      </c>
      <c r="C67">
        <v>6</v>
      </c>
      <c r="E67" s="15">
        <f t="shared" si="14"/>
        <v>0.35</v>
      </c>
      <c r="F67" s="15">
        <f t="shared" si="15"/>
        <v>0.13</v>
      </c>
      <c r="G67" s="65">
        <v>66</v>
      </c>
      <c r="H67" s="65"/>
    </row>
    <row r="68" spans="1:8">
      <c r="A68" s="15">
        <v>22.700000000000099</v>
      </c>
      <c r="B68" s="45">
        <f t="shared" si="13"/>
        <v>0.44</v>
      </c>
      <c r="C68">
        <v>7</v>
      </c>
      <c r="E68" s="15">
        <f t="shared" si="14"/>
        <v>0.35</v>
      </c>
      <c r="F68" s="15">
        <f t="shared" si="15"/>
        <v>0.13</v>
      </c>
      <c r="G68" s="6">
        <v>67</v>
      </c>
    </row>
    <row r="69" spans="1:8">
      <c r="A69" s="15">
        <v>22.8000000000001</v>
      </c>
      <c r="B69" s="45">
        <f t="shared" si="13"/>
        <v>0.44</v>
      </c>
      <c r="C69">
        <v>8</v>
      </c>
      <c r="E69" s="15">
        <f t="shared" si="14"/>
        <v>0.36</v>
      </c>
      <c r="F69" s="15">
        <f t="shared" si="15"/>
        <v>0.13</v>
      </c>
      <c r="G69" s="65">
        <v>68</v>
      </c>
      <c r="H69" s="65"/>
    </row>
    <row r="70" spans="1:8">
      <c r="A70" s="15">
        <v>22.900000000000102</v>
      </c>
      <c r="B70" s="45">
        <f t="shared" si="13"/>
        <v>0.45</v>
      </c>
      <c r="C70">
        <v>9</v>
      </c>
      <c r="E70" s="15">
        <f t="shared" si="14"/>
        <v>0.36</v>
      </c>
      <c r="F70" s="15">
        <f t="shared" si="15"/>
        <v>0.13</v>
      </c>
      <c r="G70" s="6">
        <v>69</v>
      </c>
    </row>
    <row r="71" spans="1:8">
      <c r="A71" s="15">
        <v>23.000000000000099</v>
      </c>
      <c r="B71" s="45">
        <f t="shared" si="13"/>
        <v>0.45</v>
      </c>
      <c r="C71">
        <v>10</v>
      </c>
      <c r="E71" s="15">
        <f t="shared" si="14"/>
        <v>0.36</v>
      </c>
      <c r="F71" s="15">
        <f t="shared" si="15"/>
        <v>0.13</v>
      </c>
      <c r="G71" s="65">
        <v>70</v>
      </c>
      <c r="H71" s="65"/>
    </row>
    <row r="72" spans="1:8">
      <c r="A72" s="15">
        <v>23.100000000000101</v>
      </c>
      <c r="B72" s="45">
        <f t="shared" si="13"/>
        <v>0.46</v>
      </c>
      <c r="C72">
        <v>11</v>
      </c>
      <c r="E72" s="15">
        <f t="shared" si="14"/>
        <v>0.36</v>
      </c>
      <c r="F72" s="15">
        <f t="shared" si="15"/>
        <v>0.13</v>
      </c>
      <c r="G72" s="6">
        <v>71</v>
      </c>
    </row>
    <row r="73" spans="1:8">
      <c r="A73" s="15">
        <v>23.200000000000099</v>
      </c>
      <c r="B73" s="45">
        <f t="shared" si="13"/>
        <v>0.46</v>
      </c>
      <c r="C73">
        <v>12</v>
      </c>
      <c r="E73" s="15">
        <f t="shared" si="14"/>
        <v>0.36</v>
      </c>
      <c r="F73" s="15">
        <f t="shared" si="15"/>
        <v>0.13</v>
      </c>
      <c r="G73" s="65">
        <v>72</v>
      </c>
      <c r="H73" s="65"/>
    </row>
    <row r="74" spans="1:8">
      <c r="A74" s="15">
        <v>23.3000000000001</v>
      </c>
      <c r="B74" s="45">
        <f t="shared" si="13"/>
        <v>0.47</v>
      </c>
      <c r="C74">
        <v>13</v>
      </c>
      <c r="E74" s="15">
        <f t="shared" si="14"/>
        <v>0.37</v>
      </c>
      <c r="F74" s="15">
        <f t="shared" si="15"/>
        <v>0.13</v>
      </c>
      <c r="G74" s="6">
        <v>73</v>
      </c>
    </row>
    <row r="75" spans="1:8">
      <c r="A75" s="15">
        <v>23.400000000000102</v>
      </c>
      <c r="B75" s="45">
        <f t="shared" si="13"/>
        <v>0.47</v>
      </c>
      <c r="C75">
        <v>14</v>
      </c>
      <c r="E75" s="15">
        <f t="shared" si="14"/>
        <v>0.37</v>
      </c>
      <c r="F75" s="15">
        <f t="shared" si="15"/>
        <v>0.13</v>
      </c>
      <c r="G75" s="65">
        <v>74</v>
      </c>
      <c r="H75" s="65"/>
    </row>
    <row r="76" spans="1:8">
      <c r="A76" s="15">
        <v>23.500000000000099</v>
      </c>
      <c r="B76" s="45">
        <f t="shared" si="13"/>
        <v>0.48</v>
      </c>
      <c r="C76">
        <v>15</v>
      </c>
      <c r="E76" s="15">
        <f t="shared" si="14"/>
        <v>0.37</v>
      </c>
      <c r="F76" s="15">
        <f t="shared" si="15"/>
        <v>0.14000000000000001</v>
      </c>
      <c r="G76" s="6">
        <v>75</v>
      </c>
    </row>
    <row r="77" spans="1:8">
      <c r="A77" s="15">
        <v>23.600000000000101</v>
      </c>
      <c r="B77" s="45">
        <f t="shared" si="13"/>
        <v>0.48</v>
      </c>
      <c r="C77">
        <v>16</v>
      </c>
      <c r="E77" s="15">
        <f t="shared" si="14"/>
        <v>0.37</v>
      </c>
      <c r="F77" s="15">
        <f t="shared" si="15"/>
        <v>0.14000000000000001</v>
      </c>
      <c r="G77" s="65">
        <v>76</v>
      </c>
      <c r="H77" s="65"/>
    </row>
    <row r="78" spans="1:8">
      <c r="A78" s="15">
        <v>23.700000000000099</v>
      </c>
      <c r="B78" s="45">
        <f t="shared" si="13"/>
        <v>0.49</v>
      </c>
      <c r="C78">
        <v>17</v>
      </c>
      <c r="E78" s="15">
        <f t="shared" si="14"/>
        <v>0.37</v>
      </c>
      <c r="F78" s="15">
        <f t="shared" si="15"/>
        <v>0.14000000000000001</v>
      </c>
      <c r="G78" s="6">
        <v>77</v>
      </c>
    </row>
    <row r="79" spans="1:8">
      <c r="A79" s="15">
        <v>23.8000000000001</v>
      </c>
      <c r="B79" s="45">
        <f t="shared" si="13"/>
        <v>0.49</v>
      </c>
      <c r="C79">
        <v>18</v>
      </c>
      <c r="E79" s="15">
        <f t="shared" si="14"/>
        <v>0.38</v>
      </c>
      <c r="F79" s="15">
        <f t="shared" si="15"/>
        <v>0.14000000000000001</v>
      </c>
      <c r="G79" s="65">
        <v>78</v>
      </c>
      <c r="H79" s="65"/>
    </row>
    <row r="80" spans="1:8">
      <c r="A80" s="15">
        <v>23.900000000000102</v>
      </c>
      <c r="B80" s="45">
        <f t="shared" si="13"/>
        <v>0.5</v>
      </c>
      <c r="C80">
        <v>19</v>
      </c>
      <c r="E80" s="15">
        <f t="shared" si="14"/>
        <v>0.38</v>
      </c>
      <c r="F80" s="15">
        <f t="shared" si="15"/>
        <v>0.14000000000000001</v>
      </c>
      <c r="G80" s="6">
        <v>79</v>
      </c>
    </row>
    <row r="81" spans="1:8">
      <c r="A81" s="15">
        <v>24.000000000000099</v>
      </c>
      <c r="B81" s="45">
        <f t="shared" si="13"/>
        <v>0.5</v>
      </c>
      <c r="C81">
        <v>20</v>
      </c>
      <c r="E81" s="15">
        <f t="shared" si="14"/>
        <v>0.38</v>
      </c>
      <c r="F81" s="15">
        <f t="shared" si="15"/>
        <v>0.14000000000000001</v>
      </c>
      <c r="G81" s="65">
        <v>80</v>
      </c>
      <c r="H81" s="65"/>
    </row>
    <row r="82" spans="1:8">
      <c r="A82" s="15">
        <v>24.100000000000101</v>
      </c>
      <c r="B82" s="45">
        <f t="shared" si="13"/>
        <v>0.51</v>
      </c>
      <c r="C82">
        <v>21</v>
      </c>
      <c r="E82" s="15">
        <f t="shared" si="14"/>
        <v>0.38</v>
      </c>
      <c r="F82" s="15">
        <f t="shared" si="15"/>
        <v>0.14000000000000001</v>
      </c>
      <c r="G82" s="6">
        <v>81</v>
      </c>
    </row>
    <row r="83" spans="1:8">
      <c r="A83" s="15">
        <v>24.200000000000099</v>
      </c>
      <c r="B83" s="45">
        <f t="shared" si="13"/>
        <v>0.51</v>
      </c>
      <c r="C83">
        <v>22</v>
      </c>
      <c r="E83" s="15">
        <f t="shared" si="14"/>
        <v>0.38</v>
      </c>
      <c r="F83" s="15">
        <f t="shared" si="15"/>
        <v>0.14000000000000001</v>
      </c>
      <c r="G83" s="65">
        <v>82</v>
      </c>
      <c r="H83" s="65"/>
    </row>
    <row r="84" spans="1:8">
      <c r="A84" s="15">
        <v>24.3000000000001</v>
      </c>
      <c r="B84" s="45">
        <f t="shared" si="13"/>
        <v>0.52</v>
      </c>
      <c r="C84">
        <v>23</v>
      </c>
      <c r="E84" s="15">
        <f t="shared" si="14"/>
        <v>0.39</v>
      </c>
      <c r="F84" s="15">
        <f t="shared" si="15"/>
        <v>0.14000000000000001</v>
      </c>
      <c r="G84" s="6">
        <v>83</v>
      </c>
    </row>
    <row r="85" spans="1:8">
      <c r="A85" s="15">
        <v>24.400000000000102</v>
      </c>
      <c r="B85" s="45">
        <f t="shared" si="13"/>
        <v>0.52</v>
      </c>
      <c r="C85">
        <v>24</v>
      </c>
      <c r="E85" s="15">
        <f t="shared" si="14"/>
        <v>0.39</v>
      </c>
      <c r="F85" s="15">
        <f t="shared" si="15"/>
        <v>0.14000000000000001</v>
      </c>
      <c r="G85" s="65">
        <v>84</v>
      </c>
      <c r="H85" s="65"/>
    </row>
    <row r="86" spans="1:8">
      <c r="A86" s="15">
        <v>24.500000000000099</v>
      </c>
      <c r="B86" s="45">
        <f t="shared" si="13"/>
        <v>0.53</v>
      </c>
      <c r="C86">
        <v>25</v>
      </c>
      <c r="E86" s="15">
        <f t="shared" si="14"/>
        <v>0.39</v>
      </c>
      <c r="F86" s="15">
        <f t="shared" si="15"/>
        <v>0.15</v>
      </c>
      <c r="G86" s="6">
        <v>85</v>
      </c>
    </row>
    <row r="87" spans="1:8">
      <c r="A87" s="15">
        <v>24.600000000000101</v>
      </c>
      <c r="B87" s="45">
        <f t="shared" si="13"/>
        <v>0.53</v>
      </c>
      <c r="C87">
        <v>26</v>
      </c>
      <c r="E87" s="15">
        <f t="shared" si="14"/>
        <v>0.39</v>
      </c>
      <c r="F87" s="15">
        <f t="shared" si="15"/>
        <v>0.15</v>
      </c>
      <c r="G87" s="65">
        <v>86</v>
      </c>
      <c r="H87" s="65"/>
    </row>
    <row r="88" spans="1:8">
      <c r="A88" s="15">
        <v>24.700000000000099</v>
      </c>
      <c r="B88" s="45">
        <f t="shared" si="13"/>
        <v>0.54</v>
      </c>
      <c r="C88">
        <v>27</v>
      </c>
      <c r="E88" s="15">
        <f t="shared" si="14"/>
        <v>0.39</v>
      </c>
      <c r="F88" s="15">
        <f t="shared" si="15"/>
        <v>0.15</v>
      </c>
      <c r="G88" s="6">
        <v>87</v>
      </c>
    </row>
    <row r="89" spans="1:8">
      <c r="A89" s="15">
        <v>24.8000000000001</v>
      </c>
      <c r="B89" s="45">
        <f t="shared" si="13"/>
        <v>0.54</v>
      </c>
      <c r="C89">
        <v>28</v>
      </c>
      <c r="E89" s="15">
        <f t="shared" si="14"/>
        <v>0.4</v>
      </c>
      <c r="F89" s="15">
        <f t="shared" si="15"/>
        <v>0.15</v>
      </c>
      <c r="G89" s="65">
        <v>88</v>
      </c>
      <c r="H89" s="65"/>
    </row>
    <row r="90" spans="1:8">
      <c r="A90" s="15">
        <v>24.900000000000102</v>
      </c>
      <c r="B90" s="45">
        <f t="shared" si="13"/>
        <v>0.55000000000000004</v>
      </c>
      <c r="C90">
        <v>29</v>
      </c>
      <c r="E90" s="15">
        <f t="shared" si="14"/>
        <v>0.4</v>
      </c>
      <c r="F90" s="15">
        <f t="shared" si="15"/>
        <v>0.15</v>
      </c>
      <c r="G90" s="6">
        <v>89</v>
      </c>
    </row>
    <row r="91" spans="1:8">
      <c r="A91" s="15">
        <v>25.000000000000099</v>
      </c>
      <c r="B91" s="45">
        <f t="shared" si="13"/>
        <v>0.55000000000000004</v>
      </c>
      <c r="C91">
        <v>30</v>
      </c>
      <c r="E91" s="15">
        <f t="shared" si="14"/>
        <v>0.4</v>
      </c>
      <c r="F91" s="15">
        <f t="shared" si="15"/>
        <v>0.15</v>
      </c>
      <c r="G91" s="65">
        <v>90</v>
      </c>
      <c r="H91" s="65"/>
    </row>
    <row r="92" spans="1:8">
      <c r="A92" s="15">
        <v>25.100000000000101</v>
      </c>
      <c r="B92" s="45">
        <f t="shared" si="13"/>
        <v>0.56000000000000005</v>
      </c>
      <c r="C92">
        <v>31</v>
      </c>
      <c r="E92" s="15">
        <f t="shared" si="14"/>
        <v>0.4</v>
      </c>
      <c r="F92" s="15">
        <f t="shared" si="15"/>
        <v>0.15</v>
      </c>
      <c r="G92" s="6">
        <v>91</v>
      </c>
    </row>
    <row r="93" spans="1:8">
      <c r="A93" s="15">
        <v>25.200000000000099</v>
      </c>
      <c r="B93" s="45">
        <f t="shared" si="13"/>
        <v>0.56000000000000005</v>
      </c>
      <c r="C93">
        <v>32</v>
      </c>
      <c r="E93" s="15">
        <f t="shared" si="14"/>
        <v>0.4</v>
      </c>
      <c r="F93" s="15">
        <f t="shared" si="15"/>
        <v>0.15</v>
      </c>
      <c r="G93" s="65">
        <v>92</v>
      </c>
      <c r="H93" s="65"/>
    </row>
    <row r="94" spans="1:8">
      <c r="A94" s="15">
        <v>25.3000000000001</v>
      </c>
      <c r="B94" s="45">
        <f t="shared" si="13"/>
        <v>0.56999999999999995</v>
      </c>
      <c r="C94">
        <v>33</v>
      </c>
      <c r="E94" s="15">
        <f t="shared" si="14"/>
        <v>0.41</v>
      </c>
      <c r="F94" s="15">
        <f t="shared" si="15"/>
        <v>0.15</v>
      </c>
      <c r="G94" s="6">
        <v>93</v>
      </c>
    </row>
    <row r="95" spans="1:8">
      <c r="A95" s="15">
        <v>25.400000000000102</v>
      </c>
      <c r="B95" s="45">
        <f t="shared" si="13"/>
        <v>0.56999999999999995</v>
      </c>
      <c r="C95">
        <v>34</v>
      </c>
      <c r="E95" s="15">
        <f t="shared" si="14"/>
        <v>0.41</v>
      </c>
      <c r="F95" s="15">
        <f t="shared" si="15"/>
        <v>0.15</v>
      </c>
      <c r="G95" s="65">
        <v>94</v>
      </c>
      <c r="H95" s="65"/>
    </row>
    <row r="96" spans="1:8">
      <c r="A96" s="15">
        <v>25.500000000000099</v>
      </c>
      <c r="B96" s="45">
        <f t="shared" si="13"/>
        <v>0.57999999999999996</v>
      </c>
      <c r="C96">
        <v>35</v>
      </c>
      <c r="E96" s="15">
        <f t="shared" si="14"/>
        <v>0.41</v>
      </c>
      <c r="F96" s="15">
        <f t="shared" si="15"/>
        <v>0.16</v>
      </c>
      <c r="G96" s="6">
        <v>95</v>
      </c>
    </row>
    <row r="97" spans="1:8">
      <c r="A97" s="15">
        <v>25.600000000000101</v>
      </c>
      <c r="B97" s="45">
        <f t="shared" si="13"/>
        <v>0.57999999999999996</v>
      </c>
      <c r="C97">
        <v>36</v>
      </c>
      <c r="E97" s="15">
        <f t="shared" si="14"/>
        <v>0.41</v>
      </c>
      <c r="F97" s="15">
        <f t="shared" si="15"/>
        <v>0.16</v>
      </c>
      <c r="G97" s="65">
        <v>96</v>
      </c>
      <c r="H97" s="65"/>
    </row>
    <row r="98" spans="1:8">
      <c r="A98" s="15">
        <v>25.700000000000099</v>
      </c>
      <c r="B98" s="45">
        <f t="shared" si="13"/>
        <v>0.59</v>
      </c>
      <c r="C98">
        <v>37</v>
      </c>
      <c r="E98" s="15">
        <f t="shared" si="14"/>
        <v>0.41</v>
      </c>
      <c r="F98" s="15">
        <f t="shared" si="15"/>
        <v>0.16</v>
      </c>
      <c r="G98" s="6">
        <v>97</v>
      </c>
    </row>
    <row r="99" spans="1:8">
      <c r="A99" s="15">
        <v>25.8000000000001</v>
      </c>
      <c r="B99" s="45">
        <f t="shared" si="13"/>
        <v>0.59</v>
      </c>
      <c r="C99">
        <v>38</v>
      </c>
      <c r="E99" s="15">
        <f t="shared" si="14"/>
        <v>0.42</v>
      </c>
      <c r="F99" s="15">
        <f t="shared" si="15"/>
        <v>0.16</v>
      </c>
      <c r="G99" s="65">
        <v>98</v>
      </c>
      <c r="H99" s="65"/>
    </row>
    <row r="100" spans="1:8">
      <c r="A100" s="15">
        <v>25.900000000000102</v>
      </c>
      <c r="B100" s="45">
        <f t="shared" si="13"/>
        <v>0.6</v>
      </c>
      <c r="C100">
        <v>39</v>
      </c>
      <c r="E100" s="15">
        <f t="shared" si="14"/>
        <v>0.42</v>
      </c>
      <c r="F100" s="15">
        <f t="shared" si="15"/>
        <v>0.16</v>
      </c>
      <c r="G100" s="6">
        <v>99</v>
      </c>
    </row>
    <row r="101" spans="1:8">
      <c r="A101" s="17">
        <v>26.000000000000099</v>
      </c>
      <c r="B101" s="46">
        <f>'4_Anzeichnungsprotokoll'!E28</f>
        <v>0.6</v>
      </c>
      <c r="C101" s="18">
        <v>0</v>
      </c>
      <c r="E101" s="15">
        <f t="shared" si="14"/>
        <v>0.42</v>
      </c>
      <c r="F101" s="15">
        <f t="shared" si="15"/>
        <v>0.16</v>
      </c>
      <c r="G101" s="65">
        <v>100</v>
      </c>
      <c r="H101" s="65"/>
    </row>
    <row r="102" spans="1:8">
      <c r="A102" s="15">
        <v>26.100000000000101</v>
      </c>
      <c r="B102" s="45">
        <f>ROUND(((B$141-B$101)/40*C102+B$101),2)</f>
        <v>0.61</v>
      </c>
      <c r="C102">
        <v>1</v>
      </c>
      <c r="E102" s="15">
        <f t="shared" si="14"/>
        <v>0.42</v>
      </c>
      <c r="F102" s="15">
        <f t="shared" si="15"/>
        <v>0.16</v>
      </c>
      <c r="G102" s="6">
        <v>101</v>
      </c>
    </row>
    <row r="103" spans="1:8">
      <c r="A103" s="15">
        <v>26.200000000000099</v>
      </c>
      <c r="B103" s="45">
        <f t="shared" ref="B103:B140" si="16">ROUND(((B$141-B$101)/40*C103+B$101),2)</f>
        <v>0.61</v>
      </c>
      <c r="C103">
        <v>2</v>
      </c>
      <c r="E103" s="15">
        <f t="shared" si="14"/>
        <v>0.42</v>
      </c>
      <c r="F103" s="15">
        <f t="shared" si="15"/>
        <v>0.16</v>
      </c>
      <c r="G103" s="65">
        <v>102</v>
      </c>
      <c r="H103" s="65"/>
    </row>
    <row r="104" spans="1:8">
      <c r="A104" s="15">
        <v>26.3000000000001</v>
      </c>
      <c r="B104" s="45">
        <f t="shared" si="16"/>
        <v>0.62</v>
      </c>
      <c r="C104">
        <v>3</v>
      </c>
      <c r="E104" s="15">
        <f t="shared" si="14"/>
        <v>0.43</v>
      </c>
      <c r="F104" s="15">
        <f t="shared" si="15"/>
        <v>0.16</v>
      </c>
      <c r="G104" s="6">
        <v>103</v>
      </c>
    </row>
    <row r="105" spans="1:8">
      <c r="A105" s="15">
        <v>26.400000000000102</v>
      </c>
      <c r="B105" s="45">
        <f t="shared" si="16"/>
        <v>0.63</v>
      </c>
      <c r="C105">
        <v>4</v>
      </c>
      <c r="E105" s="15">
        <f t="shared" si="14"/>
        <v>0.43</v>
      </c>
      <c r="F105" s="15">
        <f t="shared" si="15"/>
        <v>0.16</v>
      </c>
      <c r="G105" s="65">
        <v>104</v>
      </c>
      <c r="H105" s="65"/>
    </row>
    <row r="106" spans="1:8">
      <c r="A106" s="15">
        <v>26.500000000000099</v>
      </c>
      <c r="B106" s="45">
        <f t="shared" si="16"/>
        <v>0.63</v>
      </c>
      <c r="C106">
        <v>5</v>
      </c>
      <c r="E106" s="15">
        <f t="shared" si="14"/>
        <v>0.43</v>
      </c>
      <c r="F106" s="15">
        <f t="shared" si="15"/>
        <v>0.17</v>
      </c>
      <c r="G106" s="6">
        <v>105</v>
      </c>
    </row>
    <row r="107" spans="1:8">
      <c r="A107" s="15">
        <v>26.600000000000101</v>
      </c>
      <c r="B107" s="45">
        <f t="shared" si="16"/>
        <v>0.64</v>
      </c>
      <c r="C107">
        <v>6</v>
      </c>
      <c r="E107" s="15">
        <f t="shared" si="14"/>
        <v>0.43</v>
      </c>
      <c r="F107" s="15">
        <f t="shared" si="15"/>
        <v>0.17</v>
      </c>
      <c r="G107" s="65">
        <v>106</v>
      </c>
      <c r="H107" s="65"/>
    </row>
    <row r="108" spans="1:8">
      <c r="A108" s="15">
        <v>26.700000000000099</v>
      </c>
      <c r="B108" s="45">
        <f t="shared" si="16"/>
        <v>0.64</v>
      </c>
      <c r="C108">
        <v>7</v>
      </c>
      <c r="E108" s="15">
        <f t="shared" si="14"/>
        <v>0.43</v>
      </c>
      <c r="F108" s="15">
        <f t="shared" si="15"/>
        <v>0.17</v>
      </c>
      <c r="G108" s="6">
        <v>107</v>
      </c>
    </row>
    <row r="109" spans="1:8">
      <c r="A109" s="15">
        <v>26.8000000000001</v>
      </c>
      <c r="B109" s="45">
        <f t="shared" si="16"/>
        <v>0.65</v>
      </c>
      <c r="C109">
        <v>8</v>
      </c>
      <c r="E109" s="15">
        <f t="shared" si="14"/>
        <v>0.44</v>
      </c>
      <c r="F109" s="15">
        <f t="shared" si="15"/>
        <v>0.17</v>
      </c>
      <c r="G109" s="65">
        <v>108</v>
      </c>
      <c r="H109" s="65"/>
    </row>
    <row r="110" spans="1:8">
      <c r="A110" s="15">
        <v>26.900000000000102</v>
      </c>
      <c r="B110" s="45">
        <f t="shared" si="16"/>
        <v>0.66</v>
      </c>
      <c r="C110">
        <v>9</v>
      </c>
      <c r="E110" s="15">
        <f t="shared" si="14"/>
        <v>0.44</v>
      </c>
      <c r="F110" s="15">
        <f t="shared" si="15"/>
        <v>0.17</v>
      </c>
      <c r="G110" s="6">
        <v>109</v>
      </c>
    </row>
    <row r="111" spans="1:8">
      <c r="A111" s="15">
        <v>27.000000000000099</v>
      </c>
      <c r="B111" s="45">
        <f t="shared" si="16"/>
        <v>0.66</v>
      </c>
      <c r="C111">
        <v>10</v>
      </c>
      <c r="E111" s="15">
        <f t="shared" si="14"/>
        <v>0.44</v>
      </c>
      <c r="F111" s="15">
        <f t="shared" si="15"/>
        <v>0.17</v>
      </c>
      <c r="G111" s="65">
        <v>110</v>
      </c>
      <c r="H111" s="65"/>
    </row>
    <row r="112" spans="1:8">
      <c r="A112" s="15">
        <v>27.100000000000101</v>
      </c>
      <c r="B112" s="45">
        <f t="shared" si="16"/>
        <v>0.67</v>
      </c>
      <c r="C112">
        <v>11</v>
      </c>
      <c r="E112" s="15">
        <f t="shared" si="14"/>
        <v>0.44</v>
      </c>
      <c r="F112" s="15">
        <f t="shared" si="15"/>
        <v>0.17</v>
      </c>
      <c r="G112" s="6">
        <v>111</v>
      </c>
    </row>
    <row r="113" spans="1:8">
      <c r="A113" s="15">
        <v>27.200000000000099</v>
      </c>
      <c r="B113" s="45">
        <f t="shared" si="16"/>
        <v>0.68</v>
      </c>
      <c r="C113">
        <v>12</v>
      </c>
      <c r="E113" s="15">
        <f t="shared" si="14"/>
        <v>0.44</v>
      </c>
      <c r="F113" s="15">
        <f t="shared" si="15"/>
        <v>0.17</v>
      </c>
      <c r="G113" s="65">
        <v>112</v>
      </c>
      <c r="H113" s="65"/>
    </row>
    <row r="114" spans="1:8">
      <c r="A114" s="15">
        <v>27.3000000000001</v>
      </c>
      <c r="B114" s="45">
        <f t="shared" si="16"/>
        <v>0.68</v>
      </c>
      <c r="C114">
        <v>13</v>
      </c>
      <c r="E114" s="15">
        <f t="shared" si="14"/>
        <v>0.45</v>
      </c>
      <c r="F114" s="15">
        <f t="shared" si="15"/>
        <v>0.17</v>
      </c>
      <c r="G114" s="6">
        <v>113</v>
      </c>
    </row>
    <row r="115" spans="1:8">
      <c r="A115" s="15">
        <v>27.400000000000102</v>
      </c>
      <c r="B115" s="45">
        <f t="shared" si="16"/>
        <v>0.69</v>
      </c>
      <c r="C115">
        <v>14</v>
      </c>
      <c r="E115" s="15">
        <f t="shared" si="14"/>
        <v>0.45</v>
      </c>
      <c r="F115" s="15">
        <f t="shared" si="15"/>
        <v>0.17</v>
      </c>
      <c r="G115" s="65">
        <v>114</v>
      </c>
      <c r="H115" s="65"/>
    </row>
    <row r="116" spans="1:8">
      <c r="A116" s="15">
        <v>27.500000000000099</v>
      </c>
      <c r="B116" s="45">
        <f t="shared" si="16"/>
        <v>0.69</v>
      </c>
      <c r="C116">
        <v>15</v>
      </c>
      <c r="E116" s="15">
        <f t="shared" si="14"/>
        <v>0.45</v>
      </c>
      <c r="F116" s="15">
        <f t="shared" si="15"/>
        <v>0.18</v>
      </c>
      <c r="G116" s="6">
        <v>115</v>
      </c>
    </row>
    <row r="117" spans="1:8">
      <c r="A117" s="15">
        <v>27.600000000000101</v>
      </c>
      <c r="B117" s="45">
        <f t="shared" si="16"/>
        <v>0.7</v>
      </c>
      <c r="C117">
        <v>16</v>
      </c>
      <c r="E117" s="15">
        <f t="shared" si="14"/>
        <v>0.45</v>
      </c>
      <c r="F117" s="15">
        <f t="shared" si="15"/>
        <v>0.18</v>
      </c>
      <c r="G117" s="65">
        <v>116</v>
      </c>
      <c r="H117" s="65"/>
    </row>
    <row r="118" spans="1:8">
      <c r="A118" s="15">
        <v>27.700000000000099</v>
      </c>
      <c r="B118" s="45">
        <f t="shared" si="16"/>
        <v>0.71</v>
      </c>
      <c r="C118">
        <v>17</v>
      </c>
      <c r="E118" s="15">
        <f t="shared" si="14"/>
        <v>0.45</v>
      </c>
      <c r="F118" s="15">
        <f t="shared" si="15"/>
        <v>0.18</v>
      </c>
      <c r="G118" s="6">
        <v>117</v>
      </c>
    </row>
    <row r="119" spans="1:8">
      <c r="A119" s="15">
        <v>27.8000000000001</v>
      </c>
      <c r="B119" s="45">
        <f t="shared" si="16"/>
        <v>0.71</v>
      </c>
      <c r="C119">
        <v>18</v>
      </c>
      <c r="E119" s="15">
        <f t="shared" si="14"/>
        <v>0.46</v>
      </c>
      <c r="F119" s="15">
        <f t="shared" si="15"/>
        <v>0.18</v>
      </c>
      <c r="G119" s="65">
        <v>118</v>
      </c>
      <c r="H119" s="65"/>
    </row>
    <row r="120" spans="1:8">
      <c r="A120" s="15">
        <v>27.900000000000102</v>
      </c>
      <c r="B120" s="45">
        <f t="shared" si="16"/>
        <v>0.72</v>
      </c>
      <c r="C120">
        <v>19</v>
      </c>
      <c r="E120" s="15">
        <f t="shared" si="14"/>
        <v>0.46</v>
      </c>
      <c r="F120" s="15">
        <f t="shared" si="15"/>
        <v>0.18</v>
      </c>
      <c r="G120" s="6">
        <v>119</v>
      </c>
    </row>
    <row r="121" spans="1:8">
      <c r="A121" s="15">
        <v>28.000000000000099</v>
      </c>
      <c r="B121" s="45">
        <f t="shared" si="16"/>
        <v>0.73</v>
      </c>
      <c r="C121">
        <v>20</v>
      </c>
      <c r="E121" s="15">
        <f t="shared" si="14"/>
        <v>0.46</v>
      </c>
      <c r="F121" s="15">
        <f t="shared" si="15"/>
        <v>0.18</v>
      </c>
      <c r="G121" s="65">
        <v>120</v>
      </c>
      <c r="H121" s="65"/>
    </row>
    <row r="122" spans="1:8">
      <c r="A122" s="15">
        <v>28.100000000000101</v>
      </c>
      <c r="B122" s="45">
        <f t="shared" si="16"/>
        <v>0.73</v>
      </c>
      <c r="C122">
        <v>21</v>
      </c>
      <c r="E122" s="15">
        <f t="shared" si="14"/>
        <v>0.46</v>
      </c>
      <c r="F122" s="15">
        <f t="shared" si="15"/>
        <v>0.18</v>
      </c>
      <c r="G122" s="6">
        <v>121</v>
      </c>
    </row>
    <row r="123" spans="1:8">
      <c r="A123" s="15">
        <v>28.200000000000099</v>
      </c>
      <c r="B123" s="45">
        <f t="shared" si="16"/>
        <v>0.74</v>
      </c>
      <c r="C123">
        <v>22</v>
      </c>
      <c r="E123" s="15">
        <f t="shared" si="14"/>
        <v>0.46</v>
      </c>
      <c r="F123" s="15">
        <f t="shared" si="15"/>
        <v>0.18</v>
      </c>
      <c r="G123" s="65">
        <v>122</v>
      </c>
      <c r="H123" s="65"/>
    </row>
    <row r="124" spans="1:8">
      <c r="A124" s="15">
        <v>28.3000000000001</v>
      </c>
      <c r="B124" s="45">
        <f t="shared" si="16"/>
        <v>0.74</v>
      </c>
      <c r="C124">
        <v>23</v>
      </c>
      <c r="E124" s="15">
        <f t="shared" si="14"/>
        <v>0.47</v>
      </c>
      <c r="F124" s="15">
        <f t="shared" si="15"/>
        <v>0.18</v>
      </c>
      <c r="G124" s="6">
        <v>123</v>
      </c>
    </row>
    <row r="125" spans="1:8">
      <c r="A125" s="15">
        <v>28.400000000000102</v>
      </c>
      <c r="B125" s="45">
        <f t="shared" si="16"/>
        <v>0.75</v>
      </c>
      <c r="C125">
        <v>24</v>
      </c>
      <c r="E125" s="15">
        <f t="shared" si="14"/>
        <v>0.47</v>
      </c>
      <c r="F125" s="15">
        <f t="shared" si="15"/>
        <v>0.18</v>
      </c>
      <c r="G125" s="65">
        <v>124</v>
      </c>
      <c r="H125" s="65"/>
    </row>
    <row r="126" spans="1:8">
      <c r="A126" s="15">
        <v>28.500000000000099</v>
      </c>
      <c r="B126" s="45">
        <f t="shared" si="16"/>
        <v>0.76</v>
      </c>
      <c r="C126">
        <v>25</v>
      </c>
      <c r="E126" s="15">
        <f t="shared" si="14"/>
        <v>0.47</v>
      </c>
      <c r="F126" s="15">
        <f t="shared" si="15"/>
        <v>0.19</v>
      </c>
      <c r="G126" s="6">
        <v>125</v>
      </c>
    </row>
    <row r="127" spans="1:8">
      <c r="A127" s="15">
        <v>28.600000000000101</v>
      </c>
      <c r="B127" s="45">
        <f t="shared" si="16"/>
        <v>0.76</v>
      </c>
      <c r="C127">
        <v>26</v>
      </c>
      <c r="E127" s="15">
        <f t="shared" si="14"/>
        <v>0.47</v>
      </c>
      <c r="F127" s="15">
        <f t="shared" si="15"/>
        <v>0.19</v>
      </c>
      <c r="G127" s="65">
        <v>126</v>
      </c>
      <c r="H127" s="65"/>
    </row>
    <row r="128" spans="1:8">
      <c r="A128" s="15">
        <v>28.700000000000099</v>
      </c>
      <c r="B128" s="45">
        <f t="shared" si="16"/>
        <v>0.77</v>
      </c>
      <c r="C128">
        <v>27</v>
      </c>
      <c r="E128" s="15">
        <f t="shared" si="14"/>
        <v>0.47</v>
      </c>
      <c r="F128" s="15">
        <f t="shared" si="15"/>
        <v>0.19</v>
      </c>
      <c r="G128" s="6">
        <v>127</v>
      </c>
    </row>
    <row r="129" spans="1:8">
      <c r="A129" s="15">
        <v>28.8000000000001</v>
      </c>
      <c r="B129" s="45">
        <f t="shared" si="16"/>
        <v>0.78</v>
      </c>
      <c r="C129">
        <v>28</v>
      </c>
      <c r="E129" s="15">
        <f t="shared" si="14"/>
        <v>0.48</v>
      </c>
      <c r="F129" s="15">
        <f t="shared" si="15"/>
        <v>0.19</v>
      </c>
      <c r="G129" s="65">
        <v>128</v>
      </c>
      <c r="H129" s="65"/>
    </row>
    <row r="130" spans="1:8">
      <c r="A130" s="15">
        <v>28.900000000000102</v>
      </c>
      <c r="B130" s="45">
        <f t="shared" si="16"/>
        <v>0.78</v>
      </c>
      <c r="C130">
        <v>29</v>
      </c>
      <c r="E130" s="15">
        <f t="shared" ref="E130:E139" si="17">ROUND((E$141-E$1)/140*G130+E$1,2)</f>
        <v>0.48</v>
      </c>
      <c r="F130" s="15">
        <f t="shared" ref="F130:F139" si="18">ROUND((F$141-F$1)/140*G130+F$1,2)</f>
        <v>0.19</v>
      </c>
      <c r="G130" s="6">
        <v>129</v>
      </c>
    </row>
    <row r="131" spans="1:8">
      <c r="A131" s="15">
        <v>29.000000000000099</v>
      </c>
      <c r="B131" s="45">
        <f t="shared" si="16"/>
        <v>0.79</v>
      </c>
      <c r="C131">
        <v>30</v>
      </c>
      <c r="E131" s="15">
        <f t="shared" si="17"/>
        <v>0.48</v>
      </c>
      <c r="F131" s="15">
        <f t="shared" si="18"/>
        <v>0.19</v>
      </c>
      <c r="G131" s="65">
        <v>130</v>
      </c>
      <c r="H131" s="65"/>
    </row>
    <row r="132" spans="1:8">
      <c r="A132" s="15">
        <v>29.100000000000101</v>
      </c>
      <c r="B132" s="45">
        <f t="shared" si="16"/>
        <v>0.79</v>
      </c>
      <c r="C132">
        <v>31</v>
      </c>
      <c r="E132" s="15">
        <f t="shared" si="17"/>
        <v>0.48</v>
      </c>
      <c r="F132" s="15">
        <f t="shared" si="18"/>
        <v>0.19</v>
      </c>
      <c r="G132" s="6">
        <v>131</v>
      </c>
    </row>
    <row r="133" spans="1:8">
      <c r="A133" s="15">
        <v>29.200000000000099</v>
      </c>
      <c r="B133" s="45">
        <f t="shared" si="16"/>
        <v>0.8</v>
      </c>
      <c r="C133">
        <v>32</v>
      </c>
      <c r="E133" s="15">
        <f t="shared" si="17"/>
        <v>0.48</v>
      </c>
      <c r="F133" s="15">
        <f t="shared" si="18"/>
        <v>0.19</v>
      </c>
      <c r="G133" s="65">
        <v>132</v>
      </c>
      <c r="H133" s="65"/>
    </row>
    <row r="134" spans="1:8">
      <c r="A134" s="15">
        <v>29.3000000000002</v>
      </c>
      <c r="B134" s="45">
        <f t="shared" si="16"/>
        <v>0.81</v>
      </c>
      <c r="C134">
        <v>33</v>
      </c>
      <c r="E134" s="15">
        <f t="shared" si="17"/>
        <v>0.49</v>
      </c>
      <c r="F134" s="15">
        <f t="shared" si="18"/>
        <v>0.19</v>
      </c>
      <c r="G134" s="6">
        <v>133</v>
      </c>
    </row>
    <row r="135" spans="1:8">
      <c r="A135" s="15">
        <v>29.400000000000201</v>
      </c>
      <c r="B135" s="45">
        <f t="shared" si="16"/>
        <v>0.81</v>
      </c>
      <c r="C135">
        <v>34</v>
      </c>
      <c r="E135" s="15">
        <f t="shared" si="17"/>
        <v>0.49</v>
      </c>
      <c r="F135" s="15">
        <f t="shared" si="18"/>
        <v>0.19</v>
      </c>
      <c r="G135" s="65">
        <v>134</v>
      </c>
      <c r="H135" s="65"/>
    </row>
    <row r="136" spans="1:8">
      <c r="A136" s="15">
        <v>29.500000000000199</v>
      </c>
      <c r="B136" s="45">
        <f t="shared" si="16"/>
        <v>0.82</v>
      </c>
      <c r="C136">
        <v>35</v>
      </c>
      <c r="E136" s="15">
        <f t="shared" si="17"/>
        <v>0.49</v>
      </c>
      <c r="F136" s="15">
        <f t="shared" si="18"/>
        <v>0.2</v>
      </c>
      <c r="G136" s="6">
        <v>135</v>
      </c>
    </row>
    <row r="137" spans="1:8">
      <c r="A137" s="15">
        <v>29.6000000000002</v>
      </c>
      <c r="B137" s="45">
        <f t="shared" si="16"/>
        <v>0.83</v>
      </c>
      <c r="C137">
        <v>36</v>
      </c>
      <c r="E137" s="15">
        <f t="shared" si="17"/>
        <v>0.49</v>
      </c>
      <c r="F137" s="15">
        <f t="shared" si="18"/>
        <v>0.2</v>
      </c>
      <c r="G137" s="65">
        <v>136</v>
      </c>
      <c r="H137" s="65"/>
    </row>
    <row r="138" spans="1:8">
      <c r="A138" s="15">
        <v>29.700000000000198</v>
      </c>
      <c r="B138" s="45">
        <f t="shared" si="16"/>
        <v>0.83</v>
      </c>
      <c r="C138">
        <v>37</v>
      </c>
      <c r="E138" s="15">
        <f t="shared" si="17"/>
        <v>0.49</v>
      </c>
      <c r="F138" s="15">
        <f t="shared" si="18"/>
        <v>0.2</v>
      </c>
      <c r="G138" s="6">
        <v>137</v>
      </c>
    </row>
    <row r="139" spans="1:8">
      <c r="A139" s="15">
        <v>29.8000000000002</v>
      </c>
      <c r="B139" s="45">
        <f t="shared" si="16"/>
        <v>0.84</v>
      </c>
      <c r="C139">
        <v>38</v>
      </c>
      <c r="E139" s="15">
        <f t="shared" si="17"/>
        <v>0.5</v>
      </c>
      <c r="F139" s="15">
        <f t="shared" si="18"/>
        <v>0.2</v>
      </c>
      <c r="G139" s="65">
        <v>138</v>
      </c>
      <c r="H139" s="65"/>
    </row>
    <row r="140" spans="1:8">
      <c r="A140" s="15">
        <v>29.900000000000201</v>
      </c>
      <c r="B140" s="45">
        <f t="shared" si="16"/>
        <v>0.84</v>
      </c>
      <c r="C140">
        <v>39</v>
      </c>
      <c r="D140" s="10"/>
      <c r="E140" s="15">
        <f>ROUND((E$141-E$1)/140*G140+E$1,2)</f>
        <v>0.5</v>
      </c>
      <c r="F140" s="15">
        <f>ROUND((F$141-F$1)/140*G140+F$1,2)</f>
        <v>0.2</v>
      </c>
      <c r="G140" s="6">
        <v>139</v>
      </c>
    </row>
    <row r="141" spans="1:8">
      <c r="A141" s="17">
        <v>30.000000000000199</v>
      </c>
      <c r="B141" s="46">
        <f>'4_Anzeichnungsprotokoll'!E29</f>
        <v>0.85</v>
      </c>
      <c r="C141" s="18">
        <v>0</v>
      </c>
      <c r="E141" s="63">
        <v>0.5</v>
      </c>
      <c r="F141" s="63">
        <v>0.2</v>
      </c>
      <c r="G141" s="65">
        <v>140</v>
      </c>
      <c r="H141" s="65"/>
    </row>
    <row r="142" spans="1:8">
      <c r="A142" s="15">
        <v>30.1000000000002</v>
      </c>
      <c r="B142" s="45">
        <f>ROUND(((B$181-B$141)/40*C142+B$141),2)</f>
        <v>0.86</v>
      </c>
      <c r="C142">
        <v>1</v>
      </c>
      <c r="E142" s="15">
        <f t="shared" ref="E142:F189" si="19">ROUND((E$191-E$141)/50*$G142+E$141,2)</f>
        <v>0.51</v>
      </c>
      <c r="F142" s="15">
        <f t="shared" si="19"/>
        <v>0.2</v>
      </c>
      <c r="G142" s="6">
        <v>1</v>
      </c>
    </row>
    <row r="143" spans="1:8">
      <c r="A143" s="15">
        <v>30.200000000000198</v>
      </c>
      <c r="B143" s="45">
        <f t="shared" ref="B143:B180" si="20">ROUND(((B$181-B$141)/40*C143+B$141),2)</f>
        <v>0.87</v>
      </c>
      <c r="C143">
        <v>2</v>
      </c>
      <c r="E143" s="15">
        <f t="shared" si="19"/>
        <v>0.51</v>
      </c>
      <c r="F143" s="15">
        <f t="shared" si="19"/>
        <v>0.2</v>
      </c>
      <c r="G143" s="6">
        <v>2</v>
      </c>
    </row>
    <row r="144" spans="1:8">
      <c r="A144" s="15">
        <v>30.3000000000002</v>
      </c>
      <c r="B144" s="45">
        <f t="shared" si="20"/>
        <v>0.87</v>
      </c>
      <c r="C144">
        <v>3</v>
      </c>
      <c r="E144" s="15">
        <f t="shared" si="19"/>
        <v>0.52</v>
      </c>
      <c r="F144" s="15">
        <f t="shared" si="19"/>
        <v>0.2</v>
      </c>
      <c r="G144" s="6">
        <v>3</v>
      </c>
    </row>
    <row r="145" spans="1:7">
      <c r="A145" s="15">
        <v>30.400000000000201</v>
      </c>
      <c r="B145" s="45">
        <f t="shared" si="20"/>
        <v>0.88</v>
      </c>
      <c r="C145">
        <v>4</v>
      </c>
      <c r="E145" s="15">
        <f t="shared" si="19"/>
        <v>0.52</v>
      </c>
      <c r="F145" s="15">
        <f t="shared" si="19"/>
        <v>0.21</v>
      </c>
      <c r="G145" s="6">
        <v>4</v>
      </c>
    </row>
    <row r="146" spans="1:7">
      <c r="A146" s="15">
        <v>30.500000000000199</v>
      </c>
      <c r="B146" s="45">
        <f t="shared" si="20"/>
        <v>0.89</v>
      </c>
      <c r="C146">
        <v>5</v>
      </c>
      <c r="E146" s="15">
        <f t="shared" si="19"/>
        <v>0.53</v>
      </c>
      <c r="F146" s="15">
        <f t="shared" si="19"/>
        <v>0.21</v>
      </c>
      <c r="G146" s="6">
        <v>5</v>
      </c>
    </row>
    <row r="147" spans="1:7">
      <c r="A147" s="15">
        <v>30.6000000000002</v>
      </c>
      <c r="B147" s="45">
        <f t="shared" si="20"/>
        <v>0.9</v>
      </c>
      <c r="C147">
        <v>6</v>
      </c>
      <c r="E147" s="15">
        <f t="shared" si="19"/>
        <v>0.53</v>
      </c>
      <c r="F147" s="15">
        <f t="shared" si="19"/>
        <v>0.21</v>
      </c>
      <c r="G147" s="6">
        <v>6</v>
      </c>
    </row>
    <row r="148" spans="1:7">
      <c r="A148" s="15">
        <v>30.700000000000198</v>
      </c>
      <c r="B148" s="45">
        <f t="shared" si="20"/>
        <v>0.9</v>
      </c>
      <c r="C148">
        <v>7</v>
      </c>
      <c r="E148" s="15">
        <f t="shared" si="19"/>
        <v>0.54</v>
      </c>
      <c r="F148" s="15">
        <f t="shared" si="19"/>
        <v>0.21</v>
      </c>
      <c r="G148" s="6">
        <v>7</v>
      </c>
    </row>
    <row r="149" spans="1:7">
      <c r="A149" s="15">
        <v>30.8000000000002</v>
      </c>
      <c r="B149" s="45">
        <f t="shared" si="20"/>
        <v>0.91</v>
      </c>
      <c r="C149">
        <v>8</v>
      </c>
      <c r="E149" s="15">
        <f t="shared" si="19"/>
        <v>0.54</v>
      </c>
      <c r="F149" s="15">
        <f t="shared" si="19"/>
        <v>0.21</v>
      </c>
      <c r="G149" s="6">
        <v>8</v>
      </c>
    </row>
    <row r="150" spans="1:7">
      <c r="A150" s="15">
        <v>30.900000000000201</v>
      </c>
      <c r="B150" s="45">
        <f t="shared" si="20"/>
        <v>0.92</v>
      </c>
      <c r="C150">
        <v>9</v>
      </c>
      <c r="E150" s="15">
        <f t="shared" si="19"/>
        <v>0.55000000000000004</v>
      </c>
      <c r="F150" s="15">
        <f t="shared" si="19"/>
        <v>0.21</v>
      </c>
      <c r="G150" s="6">
        <v>9</v>
      </c>
    </row>
    <row r="151" spans="1:7">
      <c r="A151" s="15">
        <v>31.000000000000199</v>
      </c>
      <c r="B151" s="45">
        <f t="shared" si="20"/>
        <v>0.93</v>
      </c>
      <c r="C151">
        <v>10</v>
      </c>
      <c r="E151" s="15">
        <f t="shared" si="19"/>
        <v>0.55000000000000004</v>
      </c>
      <c r="F151" s="15">
        <f t="shared" si="19"/>
        <v>0.21</v>
      </c>
      <c r="G151" s="6">
        <v>10</v>
      </c>
    </row>
    <row r="152" spans="1:7">
      <c r="A152" s="15">
        <v>31.1000000000002</v>
      </c>
      <c r="B152" s="45">
        <f t="shared" si="20"/>
        <v>0.93</v>
      </c>
      <c r="C152">
        <v>11</v>
      </c>
      <c r="E152" s="15">
        <f t="shared" si="19"/>
        <v>0.56000000000000005</v>
      </c>
      <c r="F152" s="15">
        <f t="shared" si="19"/>
        <v>0.22</v>
      </c>
      <c r="G152" s="6">
        <v>11</v>
      </c>
    </row>
    <row r="153" spans="1:7">
      <c r="A153" s="15">
        <v>31.200000000000198</v>
      </c>
      <c r="B153" s="45">
        <f t="shared" si="20"/>
        <v>0.94</v>
      </c>
      <c r="C153">
        <v>12</v>
      </c>
      <c r="E153" s="15">
        <f t="shared" si="19"/>
        <v>0.56000000000000005</v>
      </c>
      <c r="F153" s="15">
        <f t="shared" si="19"/>
        <v>0.22</v>
      </c>
      <c r="G153" s="6">
        <v>12</v>
      </c>
    </row>
    <row r="154" spans="1:7">
      <c r="A154" s="15">
        <v>31.3000000000002</v>
      </c>
      <c r="B154" s="45">
        <f t="shared" si="20"/>
        <v>0.95</v>
      </c>
      <c r="C154">
        <v>13</v>
      </c>
      <c r="E154" s="15">
        <f t="shared" si="19"/>
        <v>0.56999999999999995</v>
      </c>
      <c r="F154" s="15">
        <f t="shared" si="19"/>
        <v>0.22</v>
      </c>
      <c r="G154" s="6">
        <v>13</v>
      </c>
    </row>
    <row r="155" spans="1:7">
      <c r="A155" s="15">
        <v>31.400000000000201</v>
      </c>
      <c r="B155" s="45">
        <f t="shared" si="20"/>
        <v>0.96</v>
      </c>
      <c r="C155">
        <v>14</v>
      </c>
      <c r="E155" s="15">
        <f t="shared" si="19"/>
        <v>0.56999999999999995</v>
      </c>
      <c r="F155" s="15">
        <f t="shared" si="19"/>
        <v>0.22</v>
      </c>
      <c r="G155" s="6">
        <v>14</v>
      </c>
    </row>
    <row r="156" spans="1:7">
      <c r="A156" s="15">
        <v>31.500000000000199</v>
      </c>
      <c r="B156" s="45">
        <f t="shared" si="20"/>
        <v>0.96</v>
      </c>
      <c r="C156">
        <v>15</v>
      </c>
      <c r="E156" s="15">
        <f t="shared" si="19"/>
        <v>0.57999999999999996</v>
      </c>
      <c r="F156" s="15">
        <f t="shared" si="19"/>
        <v>0.22</v>
      </c>
      <c r="G156" s="6">
        <v>15</v>
      </c>
    </row>
    <row r="157" spans="1:7">
      <c r="A157" s="15">
        <v>31.6000000000002</v>
      </c>
      <c r="B157" s="45">
        <f t="shared" si="20"/>
        <v>0.97</v>
      </c>
      <c r="C157">
        <v>16</v>
      </c>
      <c r="E157" s="15">
        <f t="shared" si="19"/>
        <v>0.57999999999999996</v>
      </c>
      <c r="F157" s="15">
        <f t="shared" si="19"/>
        <v>0.22</v>
      </c>
      <c r="G157" s="6">
        <v>16</v>
      </c>
    </row>
    <row r="158" spans="1:7">
      <c r="A158" s="15">
        <v>31.700000000000198</v>
      </c>
      <c r="B158" s="45">
        <f t="shared" si="20"/>
        <v>0.98</v>
      </c>
      <c r="C158">
        <v>17</v>
      </c>
      <c r="E158" s="15">
        <f t="shared" si="19"/>
        <v>0.59</v>
      </c>
      <c r="F158" s="15">
        <f t="shared" si="19"/>
        <v>0.22</v>
      </c>
      <c r="G158" s="6">
        <v>17</v>
      </c>
    </row>
    <row r="159" spans="1:7">
      <c r="A159" s="15">
        <v>31.8000000000002</v>
      </c>
      <c r="B159" s="45">
        <f t="shared" si="20"/>
        <v>0.99</v>
      </c>
      <c r="C159">
        <v>18</v>
      </c>
      <c r="E159" s="15">
        <f t="shared" si="19"/>
        <v>0.59</v>
      </c>
      <c r="F159" s="15">
        <f t="shared" si="19"/>
        <v>0.23</v>
      </c>
      <c r="G159" s="6">
        <v>18</v>
      </c>
    </row>
    <row r="160" spans="1:7">
      <c r="A160" s="15">
        <v>31.900000000000201</v>
      </c>
      <c r="B160" s="45">
        <f t="shared" si="20"/>
        <v>0.99</v>
      </c>
      <c r="C160">
        <v>19</v>
      </c>
      <c r="E160" s="15">
        <f t="shared" si="19"/>
        <v>0.6</v>
      </c>
      <c r="F160" s="15">
        <f t="shared" si="19"/>
        <v>0.23</v>
      </c>
      <c r="G160" s="6">
        <v>19</v>
      </c>
    </row>
    <row r="161" spans="1:7">
      <c r="A161" s="15">
        <v>32.000000000000199</v>
      </c>
      <c r="B161" s="45">
        <f t="shared" si="20"/>
        <v>1</v>
      </c>
      <c r="C161">
        <v>20</v>
      </c>
      <c r="E161" s="15">
        <f t="shared" si="19"/>
        <v>0.6</v>
      </c>
      <c r="F161" s="15">
        <f t="shared" si="19"/>
        <v>0.23</v>
      </c>
      <c r="G161" s="6">
        <v>20</v>
      </c>
    </row>
    <row r="162" spans="1:7">
      <c r="A162" s="15">
        <v>32.1000000000002</v>
      </c>
      <c r="B162" s="45">
        <f t="shared" si="20"/>
        <v>1.01</v>
      </c>
      <c r="C162">
        <v>21</v>
      </c>
      <c r="E162" s="15">
        <f t="shared" si="19"/>
        <v>0.61</v>
      </c>
      <c r="F162" s="15">
        <f t="shared" si="19"/>
        <v>0.23</v>
      </c>
      <c r="G162" s="6">
        <v>21</v>
      </c>
    </row>
    <row r="163" spans="1:7">
      <c r="A163" s="15">
        <v>32.200000000000202</v>
      </c>
      <c r="B163" s="45">
        <f t="shared" si="20"/>
        <v>1.02</v>
      </c>
      <c r="C163">
        <v>22</v>
      </c>
      <c r="E163" s="15">
        <f t="shared" si="19"/>
        <v>0.61</v>
      </c>
      <c r="F163" s="15">
        <f t="shared" si="19"/>
        <v>0.23</v>
      </c>
      <c r="G163" s="6">
        <v>22</v>
      </c>
    </row>
    <row r="164" spans="1:7">
      <c r="A164" s="15">
        <v>32.300000000000203</v>
      </c>
      <c r="B164" s="45">
        <f t="shared" si="20"/>
        <v>1.02</v>
      </c>
      <c r="C164">
        <v>23</v>
      </c>
      <c r="E164" s="15">
        <f t="shared" si="19"/>
        <v>0.62</v>
      </c>
      <c r="F164" s="15">
        <f t="shared" si="19"/>
        <v>0.23</v>
      </c>
      <c r="G164" s="6">
        <v>23</v>
      </c>
    </row>
    <row r="165" spans="1:7">
      <c r="A165" s="15">
        <v>32.400000000000198</v>
      </c>
      <c r="B165" s="45">
        <f t="shared" si="20"/>
        <v>1.03</v>
      </c>
      <c r="C165">
        <v>24</v>
      </c>
      <c r="E165" s="15">
        <f t="shared" si="19"/>
        <v>0.62</v>
      </c>
      <c r="F165" s="15">
        <f t="shared" si="19"/>
        <v>0.23</v>
      </c>
      <c r="G165" s="6">
        <v>24</v>
      </c>
    </row>
    <row r="166" spans="1:7">
      <c r="A166" s="15">
        <v>32.500000000000199</v>
      </c>
      <c r="B166" s="45">
        <f t="shared" si="20"/>
        <v>1.04</v>
      </c>
      <c r="C166">
        <v>25</v>
      </c>
      <c r="E166" s="15">
        <f t="shared" si="19"/>
        <v>0.63</v>
      </c>
      <c r="F166" s="15">
        <f t="shared" si="19"/>
        <v>0.24</v>
      </c>
      <c r="G166" s="6">
        <v>25</v>
      </c>
    </row>
    <row r="167" spans="1:7">
      <c r="A167" s="15">
        <v>32.6000000000002</v>
      </c>
      <c r="B167" s="45">
        <f t="shared" si="20"/>
        <v>1.05</v>
      </c>
      <c r="C167">
        <v>26</v>
      </c>
      <c r="E167" s="15">
        <f t="shared" si="19"/>
        <v>0.63</v>
      </c>
      <c r="F167" s="15">
        <f t="shared" si="19"/>
        <v>0.24</v>
      </c>
      <c r="G167" s="6">
        <v>26</v>
      </c>
    </row>
    <row r="168" spans="1:7">
      <c r="A168" s="15">
        <v>32.700000000000202</v>
      </c>
      <c r="B168" s="45">
        <f t="shared" si="20"/>
        <v>1.05</v>
      </c>
      <c r="C168">
        <v>27</v>
      </c>
      <c r="E168" s="15">
        <f t="shared" si="19"/>
        <v>0.64</v>
      </c>
      <c r="F168" s="15">
        <f t="shared" si="19"/>
        <v>0.24</v>
      </c>
      <c r="G168" s="6">
        <v>27</v>
      </c>
    </row>
    <row r="169" spans="1:7">
      <c r="A169" s="15">
        <v>32.800000000000203</v>
      </c>
      <c r="B169" s="45">
        <f t="shared" si="20"/>
        <v>1.06</v>
      </c>
      <c r="C169">
        <v>28</v>
      </c>
      <c r="E169" s="15">
        <f t="shared" si="19"/>
        <v>0.64</v>
      </c>
      <c r="F169" s="15">
        <f t="shared" si="19"/>
        <v>0.24</v>
      </c>
      <c r="G169" s="6">
        <v>28</v>
      </c>
    </row>
    <row r="170" spans="1:7">
      <c r="A170" s="15">
        <v>32.900000000000198</v>
      </c>
      <c r="B170" s="45">
        <f t="shared" si="20"/>
        <v>1.07</v>
      </c>
      <c r="C170">
        <v>29</v>
      </c>
      <c r="E170" s="15">
        <f t="shared" si="19"/>
        <v>0.65</v>
      </c>
      <c r="F170" s="15">
        <f t="shared" si="19"/>
        <v>0.24</v>
      </c>
      <c r="G170" s="6">
        <v>29</v>
      </c>
    </row>
    <row r="171" spans="1:7">
      <c r="A171" s="15">
        <v>33.000000000000199</v>
      </c>
      <c r="B171" s="45">
        <f t="shared" si="20"/>
        <v>1.08</v>
      </c>
      <c r="C171">
        <v>30</v>
      </c>
      <c r="E171" s="15">
        <f t="shared" si="19"/>
        <v>0.65</v>
      </c>
      <c r="F171" s="15">
        <f t="shared" si="19"/>
        <v>0.24</v>
      </c>
      <c r="G171" s="6">
        <v>30</v>
      </c>
    </row>
    <row r="172" spans="1:7">
      <c r="A172" s="15">
        <v>33.1000000000002</v>
      </c>
      <c r="B172" s="45">
        <f t="shared" si="20"/>
        <v>1.08</v>
      </c>
      <c r="C172">
        <v>31</v>
      </c>
      <c r="E172" s="15">
        <f t="shared" si="19"/>
        <v>0.66</v>
      </c>
      <c r="F172" s="15">
        <f t="shared" si="19"/>
        <v>0.24</v>
      </c>
      <c r="G172" s="6">
        <v>31</v>
      </c>
    </row>
    <row r="173" spans="1:7">
      <c r="A173" s="15">
        <v>33.200000000000202</v>
      </c>
      <c r="B173" s="45">
        <f t="shared" si="20"/>
        <v>1.0900000000000001</v>
      </c>
      <c r="C173">
        <v>32</v>
      </c>
      <c r="E173" s="15">
        <f t="shared" si="19"/>
        <v>0.66</v>
      </c>
      <c r="F173" s="15">
        <f t="shared" si="19"/>
        <v>0.24</v>
      </c>
      <c r="G173" s="6">
        <v>32</v>
      </c>
    </row>
    <row r="174" spans="1:7">
      <c r="A174" s="15">
        <v>33.300000000000203</v>
      </c>
      <c r="B174" s="45">
        <f t="shared" si="20"/>
        <v>1.1000000000000001</v>
      </c>
      <c r="C174">
        <v>33</v>
      </c>
      <c r="E174" s="15">
        <f t="shared" si="19"/>
        <v>0.67</v>
      </c>
      <c r="F174" s="15">
        <f t="shared" si="19"/>
        <v>0.25</v>
      </c>
      <c r="G174" s="6">
        <v>33</v>
      </c>
    </row>
    <row r="175" spans="1:7">
      <c r="A175" s="15">
        <v>33.400000000000198</v>
      </c>
      <c r="B175" s="45">
        <f t="shared" si="20"/>
        <v>1.1100000000000001</v>
      </c>
      <c r="C175">
        <v>34</v>
      </c>
      <c r="E175" s="15">
        <f t="shared" si="19"/>
        <v>0.67</v>
      </c>
      <c r="F175" s="15">
        <f t="shared" si="19"/>
        <v>0.25</v>
      </c>
      <c r="G175" s="6">
        <v>34</v>
      </c>
    </row>
    <row r="176" spans="1:7">
      <c r="A176" s="15">
        <v>33.500000000000199</v>
      </c>
      <c r="B176" s="45">
        <f t="shared" si="20"/>
        <v>1.1100000000000001</v>
      </c>
      <c r="C176">
        <v>35</v>
      </c>
      <c r="E176" s="15">
        <f t="shared" si="19"/>
        <v>0.68</v>
      </c>
      <c r="F176" s="15">
        <f t="shared" si="19"/>
        <v>0.25</v>
      </c>
      <c r="G176" s="6">
        <v>35</v>
      </c>
    </row>
    <row r="177" spans="1:8">
      <c r="A177" s="15">
        <v>33.6000000000002</v>
      </c>
      <c r="B177" s="45">
        <f t="shared" si="20"/>
        <v>1.1200000000000001</v>
      </c>
      <c r="C177">
        <v>36</v>
      </c>
      <c r="E177" s="15">
        <f t="shared" si="19"/>
        <v>0.68</v>
      </c>
      <c r="F177" s="15">
        <f t="shared" si="19"/>
        <v>0.25</v>
      </c>
      <c r="G177" s="6">
        <v>36</v>
      </c>
    </row>
    <row r="178" spans="1:8">
      <c r="A178" s="15">
        <v>33.700000000000202</v>
      </c>
      <c r="B178" s="45">
        <f t="shared" si="20"/>
        <v>1.1299999999999999</v>
      </c>
      <c r="C178">
        <v>37</v>
      </c>
      <c r="E178" s="15">
        <f t="shared" si="19"/>
        <v>0.69</v>
      </c>
      <c r="F178" s="15">
        <f t="shared" si="19"/>
        <v>0.25</v>
      </c>
      <c r="G178" s="6">
        <v>37</v>
      </c>
    </row>
    <row r="179" spans="1:8">
      <c r="A179" s="15">
        <v>33.800000000000203</v>
      </c>
      <c r="B179" s="45">
        <f t="shared" si="20"/>
        <v>1.1399999999999999</v>
      </c>
      <c r="C179">
        <v>38</v>
      </c>
      <c r="E179" s="15">
        <f t="shared" si="19"/>
        <v>0.69</v>
      </c>
      <c r="F179" s="15">
        <f t="shared" si="19"/>
        <v>0.25</v>
      </c>
      <c r="G179" s="6">
        <v>38</v>
      </c>
    </row>
    <row r="180" spans="1:8">
      <c r="A180" s="15">
        <v>33.900000000000198</v>
      </c>
      <c r="B180" s="45">
        <f t="shared" si="20"/>
        <v>1.1399999999999999</v>
      </c>
      <c r="C180">
        <v>39</v>
      </c>
      <c r="E180" s="15">
        <f t="shared" si="19"/>
        <v>0.7</v>
      </c>
      <c r="F180" s="15">
        <f t="shared" si="19"/>
        <v>0.25</v>
      </c>
      <c r="G180" s="6">
        <v>39</v>
      </c>
    </row>
    <row r="181" spans="1:8">
      <c r="A181" s="17">
        <v>34.000000000000199</v>
      </c>
      <c r="B181" s="46">
        <f>'4_Anzeichnungsprotokoll'!E30</f>
        <v>1.1499999999999999</v>
      </c>
      <c r="C181" s="18">
        <v>0</v>
      </c>
      <c r="E181" s="15">
        <f t="shared" si="19"/>
        <v>0.7</v>
      </c>
      <c r="F181" s="15">
        <f t="shared" si="19"/>
        <v>0.26</v>
      </c>
      <c r="G181" s="6">
        <v>40</v>
      </c>
    </row>
    <row r="182" spans="1:8">
      <c r="A182" s="15">
        <v>34.1000000000002</v>
      </c>
      <c r="B182" s="45">
        <f>ROUND(((B$221-B$181)/40*C182+B$181),2)</f>
        <v>1.1599999999999999</v>
      </c>
      <c r="C182">
        <v>1</v>
      </c>
      <c r="E182" s="15">
        <f t="shared" si="19"/>
        <v>0.71</v>
      </c>
      <c r="F182" s="15">
        <f t="shared" si="19"/>
        <v>0.26</v>
      </c>
      <c r="G182" s="6">
        <v>41</v>
      </c>
    </row>
    <row r="183" spans="1:8">
      <c r="A183" s="15">
        <v>34.200000000000202</v>
      </c>
      <c r="B183" s="45">
        <f t="shared" ref="B183:B220" si="21">ROUND(((B$221-B$181)/40*C183+B$181),2)</f>
        <v>1.17</v>
      </c>
      <c r="C183">
        <v>2</v>
      </c>
      <c r="E183" s="15">
        <f t="shared" si="19"/>
        <v>0.71</v>
      </c>
      <c r="F183" s="15">
        <f t="shared" si="19"/>
        <v>0.26</v>
      </c>
      <c r="G183" s="6">
        <v>42</v>
      </c>
    </row>
    <row r="184" spans="1:8">
      <c r="A184" s="15">
        <v>34.300000000000203</v>
      </c>
      <c r="B184" s="45">
        <f t="shared" si="21"/>
        <v>1.17</v>
      </c>
      <c r="C184">
        <v>3</v>
      </c>
      <c r="E184" s="15">
        <f t="shared" si="19"/>
        <v>0.72</v>
      </c>
      <c r="F184" s="15">
        <f t="shared" si="19"/>
        <v>0.26</v>
      </c>
      <c r="G184" s="6">
        <v>43</v>
      </c>
    </row>
    <row r="185" spans="1:8">
      <c r="A185" s="15">
        <v>34.400000000000198</v>
      </c>
      <c r="B185" s="45">
        <f t="shared" si="21"/>
        <v>1.18</v>
      </c>
      <c r="C185">
        <v>4</v>
      </c>
      <c r="E185" s="15">
        <f t="shared" si="19"/>
        <v>0.72</v>
      </c>
      <c r="F185" s="15">
        <f t="shared" si="19"/>
        <v>0.26</v>
      </c>
      <c r="G185" s="6">
        <v>44</v>
      </c>
    </row>
    <row r="186" spans="1:8">
      <c r="A186" s="15">
        <v>34.500000000000199</v>
      </c>
      <c r="B186" s="45">
        <f t="shared" si="21"/>
        <v>1.19</v>
      </c>
      <c r="C186">
        <v>5</v>
      </c>
      <c r="E186" s="15">
        <f t="shared" si="19"/>
        <v>0.73</v>
      </c>
      <c r="F186" s="15">
        <f t="shared" si="19"/>
        <v>0.26</v>
      </c>
      <c r="G186" s="6">
        <v>45</v>
      </c>
    </row>
    <row r="187" spans="1:8">
      <c r="A187" s="15">
        <v>34.6000000000002</v>
      </c>
      <c r="B187" s="45">
        <f t="shared" si="21"/>
        <v>1.2</v>
      </c>
      <c r="C187">
        <v>6</v>
      </c>
      <c r="E187" s="15">
        <f t="shared" si="19"/>
        <v>0.73</v>
      </c>
      <c r="F187" s="15">
        <f t="shared" si="19"/>
        <v>0.26</v>
      </c>
      <c r="G187" s="6">
        <v>46</v>
      </c>
    </row>
    <row r="188" spans="1:8">
      <c r="A188" s="15">
        <v>34.700000000000202</v>
      </c>
      <c r="B188" s="45">
        <f t="shared" si="21"/>
        <v>1.2</v>
      </c>
      <c r="C188">
        <v>7</v>
      </c>
      <c r="E188" s="15">
        <f t="shared" si="19"/>
        <v>0.74</v>
      </c>
      <c r="F188" s="15">
        <f t="shared" si="19"/>
        <v>0.27</v>
      </c>
      <c r="G188" s="6">
        <v>47</v>
      </c>
    </row>
    <row r="189" spans="1:8">
      <c r="A189" s="15">
        <v>34.800000000000203</v>
      </c>
      <c r="B189" s="45">
        <f t="shared" si="21"/>
        <v>1.21</v>
      </c>
      <c r="C189">
        <v>8</v>
      </c>
      <c r="E189" s="15">
        <f t="shared" si="19"/>
        <v>0.74</v>
      </c>
      <c r="F189" s="15">
        <f t="shared" si="19"/>
        <v>0.27</v>
      </c>
      <c r="G189" s="6">
        <v>48</v>
      </c>
    </row>
    <row r="190" spans="1:8">
      <c r="A190" s="15">
        <v>34.900000000000198</v>
      </c>
      <c r="B190" s="45">
        <f t="shared" si="21"/>
        <v>1.22</v>
      </c>
      <c r="C190">
        <v>9</v>
      </c>
      <c r="E190" s="15">
        <f>ROUND((E$191-E$141)/50*$G190+E$141,2)</f>
        <v>0.75</v>
      </c>
      <c r="F190" s="15">
        <f>ROUND((F$191-F$141)/50*$G190+F$141,2)</f>
        <v>0.27</v>
      </c>
      <c r="G190" s="6">
        <v>49</v>
      </c>
    </row>
    <row r="191" spans="1:8">
      <c r="A191" s="15">
        <v>35.000000000000199</v>
      </c>
      <c r="B191" s="45">
        <f t="shared" si="21"/>
        <v>1.23</v>
      </c>
      <c r="C191">
        <v>10</v>
      </c>
      <c r="E191" s="63">
        <v>0.75</v>
      </c>
      <c r="F191" s="63">
        <v>0.27</v>
      </c>
      <c r="G191" s="6">
        <v>50</v>
      </c>
      <c r="H191" s="64"/>
    </row>
    <row r="192" spans="1:8">
      <c r="A192" s="15">
        <v>35.1000000000002</v>
      </c>
      <c r="B192" s="45">
        <f t="shared" si="21"/>
        <v>1.23</v>
      </c>
      <c r="C192">
        <v>11</v>
      </c>
      <c r="E192" s="15">
        <f t="shared" ref="E192:F239" si="22">ROUND((E$241-E$191)/50*$G192+E$191,2)</f>
        <v>0.76</v>
      </c>
      <c r="F192" s="15">
        <f t="shared" si="22"/>
        <v>0.27</v>
      </c>
      <c r="G192" s="6">
        <v>1</v>
      </c>
    </row>
    <row r="193" spans="1:7">
      <c r="A193" s="15">
        <v>35.200000000000202</v>
      </c>
      <c r="B193" s="45">
        <f t="shared" si="21"/>
        <v>1.24</v>
      </c>
      <c r="C193">
        <v>12</v>
      </c>
      <c r="E193" s="15">
        <f t="shared" si="22"/>
        <v>0.76</v>
      </c>
      <c r="F193" s="15">
        <f t="shared" si="22"/>
        <v>0.27</v>
      </c>
      <c r="G193" s="6">
        <v>2</v>
      </c>
    </row>
    <row r="194" spans="1:7">
      <c r="A194" s="15">
        <v>35.300000000000203</v>
      </c>
      <c r="B194" s="45">
        <f t="shared" si="21"/>
        <v>1.25</v>
      </c>
      <c r="C194">
        <v>13</v>
      </c>
      <c r="E194" s="15">
        <f t="shared" si="22"/>
        <v>0.77</v>
      </c>
      <c r="F194" s="15">
        <f t="shared" si="22"/>
        <v>0.27</v>
      </c>
      <c r="G194" s="6">
        <v>3</v>
      </c>
    </row>
    <row r="195" spans="1:7">
      <c r="A195" s="15">
        <v>35.400000000000198</v>
      </c>
      <c r="B195" s="45">
        <f t="shared" si="21"/>
        <v>1.26</v>
      </c>
      <c r="C195">
        <v>14</v>
      </c>
      <c r="E195" s="15">
        <f t="shared" si="22"/>
        <v>0.77</v>
      </c>
      <c r="F195" s="15">
        <f t="shared" si="22"/>
        <v>0.28000000000000003</v>
      </c>
      <c r="G195" s="6">
        <v>4</v>
      </c>
    </row>
    <row r="196" spans="1:7">
      <c r="A196" s="15">
        <v>35.500000000000199</v>
      </c>
      <c r="B196" s="45">
        <f t="shared" si="21"/>
        <v>1.26</v>
      </c>
      <c r="C196">
        <v>15</v>
      </c>
      <c r="E196" s="15">
        <f t="shared" si="22"/>
        <v>0.78</v>
      </c>
      <c r="F196" s="15">
        <f t="shared" si="22"/>
        <v>0.28000000000000003</v>
      </c>
      <c r="G196" s="6">
        <v>5</v>
      </c>
    </row>
    <row r="197" spans="1:7">
      <c r="A197" s="15">
        <v>35.6000000000002</v>
      </c>
      <c r="B197" s="45">
        <f t="shared" si="21"/>
        <v>1.27</v>
      </c>
      <c r="C197">
        <v>16</v>
      </c>
      <c r="E197" s="15">
        <f t="shared" si="22"/>
        <v>0.78</v>
      </c>
      <c r="F197" s="15">
        <f t="shared" si="22"/>
        <v>0.28000000000000003</v>
      </c>
      <c r="G197" s="6">
        <v>6</v>
      </c>
    </row>
    <row r="198" spans="1:7">
      <c r="A198" s="15">
        <v>35.700000000000202</v>
      </c>
      <c r="B198" s="45">
        <f t="shared" si="21"/>
        <v>1.28</v>
      </c>
      <c r="C198">
        <v>17</v>
      </c>
      <c r="E198" s="15">
        <f t="shared" si="22"/>
        <v>0.79</v>
      </c>
      <c r="F198" s="15">
        <f t="shared" si="22"/>
        <v>0.28000000000000003</v>
      </c>
      <c r="G198" s="6">
        <v>7</v>
      </c>
    </row>
    <row r="199" spans="1:7">
      <c r="A199" s="15">
        <v>35.800000000000203</v>
      </c>
      <c r="B199" s="45">
        <f t="shared" si="21"/>
        <v>1.29</v>
      </c>
      <c r="C199">
        <v>18</v>
      </c>
      <c r="E199" s="15">
        <f t="shared" si="22"/>
        <v>0.79</v>
      </c>
      <c r="F199" s="15">
        <f t="shared" si="22"/>
        <v>0.28000000000000003</v>
      </c>
      <c r="G199" s="6">
        <v>8</v>
      </c>
    </row>
    <row r="200" spans="1:7">
      <c r="A200" s="15">
        <v>35.900000000000198</v>
      </c>
      <c r="B200" s="45">
        <f t="shared" si="21"/>
        <v>1.29</v>
      </c>
      <c r="C200">
        <v>19</v>
      </c>
      <c r="E200" s="15">
        <f t="shared" si="22"/>
        <v>0.8</v>
      </c>
      <c r="F200" s="15">
        <f t="shared" si="22"/>
        <v>0.28000000000000003</v>
      </c>
      <c r="G200" s="6">
        <v>9</v>
      </c>
    </row>
    <row r="201" spans="1:7">
      <c r="A201" s="15">
        <v>36.000000000000199</v>
      </c>
      <c r="B201" s="45">
        <f t="shared" si="21"/>
        <v>1.3</v>
      </c>
      <c r="C201">
        <v>20</v>
      </c>
      <c r="E201" s="15">
        <f t="shared" si="22"/>
        <v>0.8</v>
      </c>
      <c r="F201" s="15">
        <f t="shared" si="22"/>
        <v>0.28999999999999998</v>
      </c>
      <c r="G201" s="6">
        <v>10</v>
      </c>
    </row>
    <row r="202" spans="1:7">
      <c r="A202" s="15">
        <v>36.1000000000002</v>
      </c>
      <c r="B202" s="45">
        <f t="shared" si="21"/>
        <v>1.31</v>
      </c>
      <c r="C202">
        <v>21</v>
      </c>
      <c r="E202" s="15">
        <f t="shared" si="22"/>
        <v>0.81</v>
      </c>
      <c r="F202" s="15">
        <f t="shared" si="22"/>
        <v>0.28999999999999998</v>
      </c>
      <c r="G202" s="6">
        <v>11</v>
      </c>
    </row>
    <row r="203" spans="1:7">
      <c r="A203" s="15">
        <v>36.200000000000202</v>
      </c>
      <c r="B203" s="45">
        <f t="shared" si="21"/>
        <v>1.32</v>
      </c>
      <c r="C203">
        <v>22</v>
      </c>
      <c r="E203" s="15">
        <f t="shared" si="22"/>
        <v>0.81</v>
      </c>
      <c r="F203" s="15">
        <f t="shared" si="22"/>
        <v>0.28999999999999998</v>
      </c>
      <c r="G203" s="6">
        <v>12</v>
      </c>
    </row>
    <row r="204" spans="1:7">
      <c r="A204" s="15">
        <v>36.300000000000303</v>
      </c>
      <c r="B204" s="45">
        <f t="shared" si="21"/>
        <v>1.32</v>
      </c>
      <c r="C204">
        <v>23</v>
      </c>
      <c r="E204" s="15">
        <f t="shared" si="22"/>
        <v>0.82</v>
      </c>
      <c r="F204" s="15">
        <f t="shared" si="22"/>
        <v>0.28999999999999998</v>
      </c>
      <c r="G204" s="6">
        <v>13</v>
      </c>
    </row>
    <row r="205" spans="1:7">
      <c r="A205" s="15">
        <v>36.400000000000297</v>
      </c>
      <c r="B205" s="45">
        <f t="shared" si="21"/>
        <v>1.33</v>
      </c>
      <c r="C205">
        <v>24</v>
      </c>
      <c r="E205" s="15">
        <f t="shared" si="22"/>
        <v>0.82</v>
      </c>
      <c r="F205" s="15">
        <f t="shared" si="22"/>
        <v>0.28999999999999998</v>
      </c>
      <c r="G205" s="6">
        <v>14</v>
      </c>
    </row>
    <row r="206" spans="1:7">
      <c r="A206" s="15">
        <v>36.500000000000298</v>
      </c>
      <c r="B206" s="45">
        <f t="shared" si="21"/>
        <v>1.34</v>
      </c>
      <c r="C206">
        <v>25</v>
      </c>
      <c r="E206" s="15">
        <f t="shared" si="22"/>
        <v>0.83</v>
      </c>
      <c r="F206" s="15">
        <f t="shared" si="22"/>
        <v>0.28999999999999998</v>
      </c>
      <c r="G206" s="6">
        <v>15</v>
      </c>
    </row>
    <row r="207" spans="1:7">
      <c r="A207" s="15">
        <v>36.6000000000003</v>
      </c>
      <c r="B207" s="45">
        <f t="shared" si="21"/>
        <v>1.35</v>
      </c>
      <c r="C207">
        <v>26</v>
      </c>
      <c r="E207" s="15">
        <f t="shared" si="22"/>
        <v>0.83</v>
      </c>
      <c r="F207" s="15">
        <f t="shared" si="22"/>
        <v>0.3</v>
      </c>
      <c r="G207" s="6">
        <v>16</v>
      </c>
    </row>
    <row r="208" spans="1:7">
      <c r="A208" s="15">
        <v>36.700000000000301</v>
      </c>
      <c r="B208" s="45">
        <f t="shared" si="21"/>
        <v>1.35</v>
      </c>
      <c r="C208">
        <v>27</v>
      </c>
      <c r="E208" s="15">
        <f t="shared" si="22"/>
        <v>0.84</v>
      </c>
      <c r="F208" s="15">
        <f t="shared" si="22"/>
        <v>0.3</v>
      </c>
      <c r="G208" s="6">
        <v>17</v>
      </c>
    </row>
    <row r="209" spans="1:7">
      <c r="A209" s="15">
        <v>36.800000000000303</v>
      </c>
      <c r="B209" s="45">
        <f t="shared" si="21"/>
        <v>1.36</v>
      </c>
      <c r="C209">
        <v>28</v>
      </c>
      <c r="E209" s="15">
        <f t="shared" si="22"/>
        <v>0.84</v>
      </c>
      <c r="F209" s="15">
        <f t="shared" si="22"/>
        <v>0.3</v>
      </c>
      <c r="G209" s="6">
        <v>18</v>
      </c>
    </row>
    <row r="210" spans="1:7">
      <c r="A210" s="15">
        <v>36.900000000000297</v>
      </c>
      <c r="B210" s="45">
        <f t="shared" si="21"/>
        <v>1.37</v>
      </c>
      <c r="C210">
        <v>29</v>
      </c>
      <c r="E210" s="15">
        <f t="shared" si="22"/>
        <v>0.85</v>
      </c>
      <c r="F210" s="15">
        <f t="shared" si="22"/>
        <v>0.3</v>
      </c>
      <c r="G210" s="6">
        <v>19</v>
      </c>
    </row>
    <row r="211" spans="1:7">
      <c r="A211" s="15">
        <v>37.000000000000298</v>
      </c>
      <c r="B211" s="45">
        <f t="shared" si="21"/>
        <v>1.38</v>
      </c>
      <c r="C211">
        <v>30</v>
      </c>
      <c r="E211" s="15">
        <f t="shared" si="22"/>
        <v>0.85</v>
      </c>
      <c r="F211" s="15">
        <f t="shared" si="22"/>
        <v>0.3</v>
      </c>
      <c r="G211" s="6">
        <v>20</v>
      </c>
    </row>
    <row r="212" spans="1:7">
      <c r="A212" s="15">
        <v>37.1000000000003</v>
      </c>
      <c r="B212" s="45">
        <f t="shared" si="21"/>
        <v>1.38</v>
      </c>
      <c r="C212">
        <v>31</v>
      </c>
      <c r="E212" s="15">
        <f t="shared" si="22"/>
        <v>0.86</v>
      </c>
      <c r="F212" s="15">
        <f t="shared" si="22"/>
        <v>0.3</v>
      </c>
      <c r="G212" s="6">
        <v>21</v>
      </c>
    </row>
    <row r="213" spans="1:7">
      <c r="A213" s="15">
        <v>37.200000000000301</v>
      </c>
      <c r="B213" s="45">
        <f t="shared" si="21"/>
        <v>1.39</v>
      </c>
      <c r="C213">
        <v>32</v>
      </c>
      <c r="E213" s="15">
        <f t="shared" si="22"/>
        <v>0.86</v>
      </c>
      <c r="F213" s="15">
        <f t="shared" si="22"/>
        <v>0.31</v>
      </c>
      <c r="G213" s="6">
        <v>22</v>
      </c>
    </row>
    <row r="214" spans="1:7">
      <c r="A214" s="15">
        <v>37.300000000000303</v>
      </c>
      <c r="B214" s="45">
        <f t="shared" si="21"/>
        <v>1.4</v>
      </c>
      <c r="C214">
        <v>33</v>
      </c>
      <c r="E214" s="15">
        <f t="shared" si="22"/>
        <v>0.87</v>
      </c>
      <c r="F214" s="15">
        <f t="shared" si="22"/>
        <v>0.31</v>
      </c>
      <c r="G214" s="6">
        <v>23</v>
      </c>
    </row>
    <row r="215" spans="1:7">
      <c r="A215" s="15">
        <v>37.400000000000297</v>
      </c>
      <c r="B215" s="45">
        <f t="shared" si="21"/>
        <v>1.41</v>
      </c>
      <c r="C215">
        <v>34</v>
      </c>
      <c r="E215" s="15">
        <f t="shared" si="22"/>
        <v>0.87</v>
      </c>
      <c r="F215" s="15">
        <f t="shared" si="22"/>
        <v>0.31</v>
      </c>
      <c r="G215" s="6">
        <v>24</v>
      </c>
    </row>
    <row r="216" spans="1:7">
      <c r="A216" s="15">
        <v>37.500000000000298</v>
      </c>
      <c r="B216" s="45">
        <f t="shared" si="21"/>
        <v>1.41</v>
      </c>
      <c r="C216">
        <v>35</v>
      </c>
      <c r="E216" s="15">
        <f t="shared" si="22"/>
        <v>0.88</v>
      </c>
      <c r="F216" s="15">
        <f t="shared" si="22"/>
        <v>0.31</v>
      </c>
      <c r="G216" s="6">
        <v>25</v>
      </c>
    </row>
    <row r="217" spans="1:7">
      <c r="A217" s="15">
        <v>37.6000000000003</v>
      </c>
      <c r="B217" s="45">
        <f t="shared" si="21"/>
        <v>1.42</v>
      </c>
      <c r="C217">
        <v>36</v>
      </c>
      <c r="E217" s="15">
        <f t="shared" si="22"/>
        <v>0.88</v>
      </c>
      <c r="F217" s="15">
        <f t="shared" si="22"/>
        <v>0.31</v>
      </c>
      <c r="G217" s="6">
        <v>26</v>
      </c>
    </row>
    <row r="218" spans="1:7">
      <c r="A218" s="15">
        <v>37.700000000000301</v>
      </c>
      <c r="B218" s="45">
        <f t="shared" si="21"/>
        <v>1.43</v>
      </c>
      <c r="C218">
        <v>37</v>
      </c>
      <c r="E218" s="15">
        <f t="shared" si="22"/>
        <v>0.89</v>
      </c>
      <c r="F218" s="15">
        <f t="shared" si="22"/>
        <v>0.31</v>
      </c>
      <c r="G218" s="6">
        <v>27</v>
      </c>
    </row>
    <row r="219" spans="1:7">
      <c r="A219" s="15">
        <v>37.800000000000303</v>
      </c>
      <c r="B219" s="45">
        <f t="shared" si="21"/>
        <v>1.44</v>
      </c>
      <c r="C219">
        <v>38</v>
      </c>
      <c r="E219" s="15">
        <f t="shared" si="22"/>
        <v>0.89</v>
      </c>
      <c r="F219" s="15">
        <f t="shared" si="22"/>
        <v>0.31</v>
      </c>
      <c r="G219" s="6">
        <v>28</v>
      </c>
    </row>
    <row r="220" spans="1:7">
      <c r="A220" s="15">
        <v>37.900000000000297</v>
      </c>
      <c r="B220" s="45">
        <f t="shared" si="21"/>
        <v>1.44</v>
      </c>
      <c r="C220">
        <v>39</v>
      </c>
      <c r="E220" s="15">
        <f t="shared" si="22"/>
        <v>0.9</v>
      </c>
      <c r="F220" s="15">
        <f t="shared" si="22"/>
        <v>0.32</v>
      </c>
      <c r="G220" s="6">
        <v>29</v>
      </c>
    </row>
    <row r="221" spans="1:7">
      <c r="A221" s="17">
        <v>38.000000000000298</v>
      </c>
      <c r="B221" s="46">
        <f>'4_Anzeichnungsprotokoll'!E31</f>
        <v>1.45</v>
      </c>
      <c r="C221" s="18">
        <v>0</v>
      </c>
      <c r="E221" s="15">
        <f t="shared" si="22"/>
        <v>0.9</v>
      </c>
      <c r="F221" s="15">
        <f t="shared" si="22"/>
        <v>0.32</v>
      </c>
      <c r="G221" s="6">
        <v>30</v>
      </c>
    </row>
    <row r="222" spans="1:7">
      <c r="A222" s="15">
        <v>38.1000000000003</v>
      </c>
      <c r="B222" s="45">
        <f>ROUND(((B$261-B$221)/40*C222+B$221),2)</f>
        <v>1.46</v>
      </c>
      <c r="C222">
        <v>1</v>
      </c>
      <c r="E222" s="15">
        <f t="shared" si="22"/>
        <v>0.91</v>
      </c>
      <c r="F222" s="15">
        <f t="shared" si="22"/>
        <v>0.32</v>
      </c>
      <c r="G222" s="6">
        <v>31</v>
      </c>
    </row>
    <row r="223" spans="1:7">
      <c r="A223" s="15">
        <v>38.200000000000301</v>
      </c>
      <c r="B223" s="45">
        <f t="shared" ref="B223:B260" si="23">ROUND(((B$261-B$221)/40*C223+B$221),2)</f>
        <v>1.47</v>
      </c>
      <c r="C223">
        <v>2</v>
      </c>
      <c r="E223" s="15">
        <f t="shared" si="22"/>
        <v>0.91</v>
      </c>
      <c r="F223" s="15">
        <f t="shared" si="22"/>
        <v>0.32</v>
      </c>
      <c r="G223" s="6">
        <v>32</v>
      </c>
    </row>
    <row r="224" spans="1:7">
      <c r="A224" s="15">
        <v>38.300000000000303</v>
      </c>
      <c r="B224" s="45">
        <f t="shared" si="23"/>
        <v>1.48</v>
      </c>
      <c r="C224">
        <v>3</v>
      </c>
      <c r="E224" s="15">
        <f t="shared" si="22"/>
        <v>0.92</v>
      </c>
      <c r="F224" s="15">
        <f t="shared" si="22"/>
        <v>0.32</v>
      </c>
      <c r="G224" s="6">
        <v>33</v>
      </c>
    </row>
    <row r="225" spans="1:7">
      <c r="A225" s="15">
        <v>38.400000000000297</v>
      </c>
      <c r="B225" s="45">
        <f t="shared" si="23"/>
        <v>1.49</v>
      </c>
      <c r="C225">
        <v>4</v>
      </c>
      <c r="E225" s="15">
        <f t="shared" si="22"/>
        <v>0.92</v>
      </c>
      <c r="F225" s="15">
        <f t="shared" si="22"/>
        <v>0.32</v>
      </c>
      <c r="G225" s="6">
        <v>34</v>
      </c>
    </row>
    <row r="226" spans="1:7">
      <c r="A226" s="15">
        <v>38.500000000000298</v>
      </c>
      <c r="B226" s="45">
        <f t="shared" si="23"/>
        <v>1.49</v>
      </c>
      <c r="C226">
        <v>5</v>
      </c>
      <c r="E226" s="15">
        <f t="shared" si="22"/>
        <v>0.93</v>
      </c>
      <c r="F226" s="15">
        <f t="shared" si="22"/>
        <v>0.33</v>
      </c>
      <c r="G226" s="6">
        <v>35</v>
      </c>
    </row>
    <row r="227" spans="1:7">
      <c r="A227" s="15">
        <v>38.6000000000003</v>
      </c>
      <c r="B227" s="45">
        <f t="shared" si="23"/>
        <v>1.5</v>
      </c>
      <c r="C227">
        <v>6</v>
      </c>
      <c r="E227" s="15">
        <f t="shared" si="22"/>
        <v>0.93</v>
      </c>
      <c r="F227" s="15">
        <f t="shared" si="22"/>
        <v>0.33</v>
      </c>
      <c r="G227" s="6">
        <v>36</v>
      </c>
    </row>
    <row r="228" spans="1:7">
      <c r="A228" s="15">
        <v>38.700000000000301</v>
      </c>
      <c r="B228" s="45">
        <f t="shared" si="23"/>
        <v>1.51</v>
      </c>
      <c r="C228">
        <v>7</v>
      </c>
      <c r="E228" s="15">
        <f t="shared" si="22"/>
        <v>0.94</v>
      </c>
      <c r="F228" s="15">
        <f t="shared" si="22"/>
        <v>0.33</v>
      </c>
      <c r="G228" s="6">
        <v>37</v>
      </c>
    </row>
    <row r="229" spans="1:7">
      <c r="A229" s="15">
        <v>38.800000000000303</v>
      </c>
      <c r="B229" s="45">
        <f t="shared" si="23"/>
        <v>1.52</v>
      </c>
      <c r="C229">
        <v>8</v>
      </c>
      <c r="E229" s="15">
        <f t="shared" si="22"/>
        <v>0.94</v>
      </c>
      <c r="F229" s="15">
        <f t="shared" si="22"/>
        <v>0.33</v>
      </c>
      <c r="G229" s="6">
        <v>38</v>
      </c>
    </row>
    <row r="230" spans="1:7">
      <c r="A230" s="15">
        <v>38.900000000000297</v>
      </c>
      <c r="B230" s="45">
        <f t="shared" si="23"/>
        <v>1.53</v>
      </c>
      <c r="C230">
        <v>9</v>
      </c>
      <c r="E230" s="15">
        <f t="shared" si="22"/>
        <v>0.95</v>
      </c>
      <c r="F230" s="15">
        <f t="shared" si="22"/>
        <v>0.33</v>
      </c>
      <c r="G230" s="6">
        <v>39</v>
      </c>
    </row>
    <row r="231" spans="1:7">
      <c r="A231" s="15">
        <v>39.000000000000298</v>
      </c>
      <c r="B231" s="45">
        <f t="shared" si="23"/>
        <v>1.54</v>
      </c>
      <c r="C231">
        <v>10</v>
      </c>
      <c r="E231" s="15">
        <f t="shared" si="22"/>
        <v>0.95</v>
      </c>
      <c r="F231" s="15">
        <f t="shared" si="22"/>
        <v>0.33</v>
      </c>
      <c r="G231" s="6">
        <v>40</v>
      </c>
    </row>
    <row r="232" spans="1:7">
      <c r="A232" s="15">
        <v>39.1000000000003</v>
      </c>
      <c r="B232" s="45">
        <f t="shared" si="23"/>
        <v>1.55</v>
      </c>
      <c r="C232">
        <v>11</v>
      </c>
      <c r="E232" s="15">
        <f t="shared" si="22"/>
        <v>0.96</v>
      </c>
      <c r="F232" s="15">
        <f t="shared" si="22"/>
        <v>0.34</v>
      </c>
      <c r="G232" s="6">
        <v>41</v>
      </c>
    </row>
    <row r="233" spans="1:7">
      <c r="A233" s="15">
        <v>39.200000000000301</v>
      </c>
      <c r="B233" s="45">
        <f t="shared" si="23"/>
        <v>1.56</v>
      </c>
      <c r="C233">
        <v>12</v>
      </c>
      <c r="E233" s="15">
        <f t="shared" si="22"/>
        <v>0.96</v>
      </c>
      <c r="F233" s="15">
        <f t="shared" si="22"/>
        <v>0.34</v>
      </c>
      <c r="G233" s="6">
        <v>42</v>
      </c>
    </row>
    <row r="234" spans="1:7">
      <c r="A234" s="15">
        <v>39.300000000000303</v>
      </c>
      <c r="B234" s="45">
        <f t="shared" si="23"/>
        <v>1.56</v>
      </c>
      <c r="C234">
        <v>13</v>
      </c>
      <c r="E234" s="15">
        <f t="shared" si="22"/>
        <v>0.97</v>
      </c>
      <c r="F234" s="15">
        <f t="shared" si="22"/>
        <v>0.34</v>
      </c>
      <c r="G234" s="6">
        <v>43</v>
      </c>
    </row>
    <row r="235" spans="1:7">
      <c r="A235" s="15">
        <v>39.400000000000297</v>
      </c>
      <c r="B235" s="45">
        <f t="shared" si="23"/>
        <v>1.57</v>
      </c>
      <c r="C235">
        <v>14</v>
      </c>
      <c r="E235" s="15">
        <f t="shared" si="22"/>
        <v>0.97</v>
      </c>
      <c r="F235" s="15">
        <f t="shared" si="22"/>
        <v>0.34</v>
      </c>
      <c r="G235" s="6">
        <v>44</v>
      </c>
    </row>
    <row r="236" spans="1:7">
      <c r="A236" s="15">
        <v>39.500000000000298</v>
      </c>
      <c r="B236" s="45">
        <f t="shared" si="23"/>
        <v>1.58</v>
      </c>
      <c r="C236">
        <v>15</v>
      </c>
      <c r="E236" s="15">
        <f t="shared" si="22"/>
        <v>0.98</v>
      </c>
      <c r="F236" s="15">
        <f t="shared" si="22"/>
        <v>0.34</v>
      </c>
      <c r="G236" s="6">
        <v>45</v>
      </c>
    </row>
    <row r="237" spans="1:7">
      <c r="A237" s="15">
        <v>39.6000000000003</v>
      </c>
      <c r="B237" s="45">
        <f t="shared" si="23"/>
        <v>1.59</v>
      </c>
      <c r="C237">
        <v>16</v>
      </c>
      <c r="E237" s="15">
        <f t="shared" si="22"/>
        <v>0.98</v>
      </c>
      <c r="F237" s="15">
        <f t="shared" si="22"/>
        <v>0.34</v>
      </c>
      <c r="G237" s="6">
        <v>46</v>
      </c>
    </row>
    <row r="238" spans="1:7">
      <c r="A238" s="15">
        <v>39.700000000000301</v>
      </c>
      <c r="B238" s="45">
        <f t="shared" si="23"/>
        <v>1.6</v>
      </c>
      <c r="C238">
        <v>17</v>
      </c>
      <c r="E238" s="15">
        <f t="shared" si="22"/>
        <v>0.99</v>
      </c>
      <c r="F238" s="15">
        <f t="shared" si="22"/>
        <v>0.35</v>
      </c>
      <c r="G238" s="6">
        <v>47</v>
      </c>
    </row>
    <row r="239" spans="1:7">
      <c r="A239" s="15">
        <v>39.800000000000303</v>
      </c>
      <c r="B239" s="45">
        <f t="shared" si="23"/>
        <v>1.61</v>
      </c>
      <c r="C239">
        <v>18</v>
      </c>
      <c r="E239" s="15">
        <f t="shared" si="22"/>
        <v>0.99</v>
      </c>
      <c r="F239" s="15">
        <f t="shared" si="22"/>
        <v>0.35</v>
      </c>
      <c r="G239" s="6">
        <v>48</v>
      </c>
    </row>
    <row r="240" spans="1:7">
      <c r="A240" s="15">
        <v>39.900000000000297</v>
      </c>
      <c r="B240" s="45">
        <f t="shared" si="23"/>
        <v>1.62</v>
      </c>
      <c r="C240">
        <v>19</v>
      </c>
      <c r="E240" s="15">
        <f>ROUND((E$241-E$191)/50*$G240+E$191,2)</f>
        <v>1</v>
      </c>
      <c r="F240" s="15">
        <f>ROUND((F$241-F$191)/50*$G240+F$191,2)</f>
        <v>0.35</v>
      </c>
      <c r="G240" s="6">
        <v>49</v>
      </c>
    </row>
    <row r="241" spans="1:8">
      <c r="A241" s="15">
        <v>40.000000000000298</v>
      </c>
      <c r="B241" s="45">
        <f t="shared" si="23"/>
        <v>1.63</v>
      </c>
      <c r="C241">
        <v>20</v>
      </c>
      <c r="E241" s="63">
        <v>1</v>
      </c>
      <c r="F241" s="63">
        <v>0.35</v>
      </c>
      <c r="G241" s="6">
        <v>50</v>
      </c>
      <c r="H241" s="64"/>
    </row>
    <row r="242" spans="1:8">
      <c r="A242" s="15">
        <v>40.1000000000003</v>
      </c>
      <c r="B242" s="45">
        <f t="shared" si="23"/>
        <v>1.63</v>
      </c>
      <c r="C242">
        <v>21</v>
      </c>
      <c r="E242" s="15">
        <f t="shared" ref="E242:F273" si="24">ROUND((E$341-E$241)/100*$G242+E$241,2)</f>
        <v>1.01</v>
      </c>
      <c r="F242" s="15">
        <f t="shared" si="24"/>
        <v>0.35</v>
      </c>
      <c r="G242" s="6">
        <v>1</v>
      </c>
    </row>
    <row r="243" spans="1:8">
      <c r="A243" s="15">
        <v>40.200000000000301</v>
      </c>
      <c r="B243" s="45">
        <f t="shared" si="23"/>
        <v>1.64</v>
      </c>
      <c r="C243">
        <v>22</v>
      </c>
      <c r="E243" s="15">
        <f t="shared" si="24"/>
        <v>1.02</v>
      </c>
      <c r="F243" s="15">
        <f t="shared" si="24"/>
        <v>0.35</v>
      </c>
      <c r="G243" s="6">
        <v>2</v>
      </c>
    </row>
    <row r="244" spans="1:8">
      <c r="A244" s="15">
        <v>40.300000000000303</v>
      </c>
      <c r="B244" s="45">
        <f t="shared" si="23"/>
        <v>1.65</v>
      </c>
      <c r="C244">
        <v>23</v>
      </c>
      <c r="E244" s="15">
        <f t="shared" si="24"/>
        <v>1.03</v>
      </c>
      <c r="F244" s="15">
        <f t="shared" si="24"/>
        <v>0.36</v>
      </c>
      <c r="G244" s="6">
        <v>3</v>
      </c>
    </row>
    <row r="245" spans="1:8">
      <c r="A245" s="15">
        <v>40.400000000000297</v>
      </c>
      <c r="B245" s="45">
        <f t="shared" si="23"/>
        <v>1.66</v>
      </c>
      <c r="C245">
        <v>24</v>
      </c>
      <c r="E245" s="15">
        <f t="shared" si="24"/>
        <v>1.04</v>
      </c>
      <c r="F245" s="15">
        <f t="shared" si="24"/>
        <v>0.36</v>
      </c>
      <c r="G245" s="6">
        <v>4</v>
      </c>
    </row>
    <row r="246" spans="1:8">
      <c r="A246" s="15">
        <v>40.500000000000298</v>
      </c>
      <c r="B246" s="45">
        <f t="shared" si="23"/>
        <v>1.67</v>
      </c>
      <c r="C246">
        <v>25</v>
      </c>
      <c r="E246" s="15">
        <f t="shared" si="24"/>
        <v>1.05</v>
      </c>
      <c r="F246" s="15">
        <f t="shared" si="24"/>
        <v>0.36</v>
      </c>
      <c r="G246" s="6">
        <v>5</v>
      </c>
    </row>
    <row r="247" spans="1:8">
      <c r="A247" s="15">
        <v>40.6000000000003</v>
      </c>
      <c r="B247" s="45">
        <f t="shared" si="23"/>
        <v>1.68</v>
      </c>
      <c r="C247">
        <v>26</v>
      </c>
      <c r="E247" s="15">
        <f t="shared" si="24"/>
        <v>1.06</v>
      </c>
      <c r="F247" s="15">
        <f t="shared" si="24"/>
        <v>0.36</v>
      </c>
      <c r="G247" s="6">
        <v>6</v>
      </c>
    </row>
    <row r="248" spans="1:8">
      <c r="A248" s="15">
        <v>40.700000000000301</v>
      </c>
      <c r="B248" s="45">
        <f t="shared" si="23"/>
        <v>1.69</v>
      </c>
      <c r="C248">
        <v>27</v>
      </c>
      <c r="E248" s="15">
        <f t="shared" si="24"/>
        <v>1.07</v>
      </c>
      <c r="F248" s="15">
        <f t="shared" si="24"/>
        <v>0.36</v>
      </c>
      <c r="G248" s="6">
        <v>7</v>
      </c>
    </row>
    <row r="249" spans="1:8">
      <c r="A249" s="15">
        <v>40.800000000000303</v>
      </c>
      <c r="B249" s="45">
        <f t="shared" si="23"/>
        <v>1.7</v>
      </c>
      <c r="C249">
        <v>28</v>
      </c>
      <c r="E249" s="15">
        <f t="shared" si="24"/>
        <v>1.08</v>
      </c>
      <c r="F249" s="15">
        <f t="shared" si="24"/>
        <v>0.37</v>
      </c>
      <c r="G249" s="6">
        <v>8</v>
      </c>
    </row>
    <row r="250" spans="1:8">
      <c r="A250" s="15">
        <v>40.900000000000297</v>
      </c>
      <c r="B250" s="45">
        <f t="shared" si="23"/>
        <v>1.7</v>
      </c>
      <c r="C250">
        <v>29</v>
      </c>
      <c r="E250" s="15">
        <f t="shared" si="24"/>
        <v>1.0900000000000001</v>
      </c>
      <c r="F250" s="15">
        <f t="shared" si="24"/>
        <v>0.37</v>
      </c>
      <c r="G250" s="6">
        <v>9</v>
      </c>
    </row>
    <row r="251" spans="1:8">
      <c r="A251" s="15">
        <v>41.000000000000298</v>
      </c>
      <c r="B251" s="45">
        <f t="shared" si="23"/>
        <v>1.71</v>
      </c>
      <c r="C251">
        <v>30</v>
      </c>
      <c r="E251" s="15">
        <f t="shared" si="24"/>
        <v>1.1000000000000001</v>
      </c>
      <c r="F251" s="15">
        <f t="shared" si="24"/>
        <v>0.37</v>
      </c>
      <c r="G251" s="6">
        <v>10</v>
      </c>
    </row>
    <row r="252" spans="1:8">
      <c r="A252" s="15">
        <v>41.1000000000003</v>
      </c>
      <c r="B252" s="45">
        <f t="shared" si="23"/>
        <v>1.72</v>
      </c>
      <c r="C252">
        <v>31</v>
      </c>
      <c r="E252" s="15">
        <f t="shared" si="24"/>
        <v>1.1100000000000001</v>
      </c>
      <c r="F252" s="15">
        <f t="shared" si="24"/>
        <v>0.37</v>
      </c>
      <c r="G252" s="6">
        <v>11</v>
      </c>
    </row>
    <row r="253" spans="1:8">
      <c r="A253" s="15">
        <v>41.200000000000301</v>
      </c>
      <c r="B253" s="45">
        <f t="shared" si="23"/>
        <v>1.73</v>
      </c>
      <c r="C253">
        <v>32</v>
      </c>
      <c r="E253" s="15">
        <f t="shared" si="24"/>
        <v>1.1200000000000001</v>
      </c>
      <c r="F253" s="15">
        <f t="shared" si="24"/>
        <v>0.37</v>
      </c>
      <c r="G253" s="6">
        <v>12</v>
      </c>
    </row>
    <row r="254" spans="1:8">
      <c r="A254" s="15">
        <v>41.300000000000303</v>
      </c>
      <c r="B254" s="45">
        <f t="shared" si="23"/>
        <v>1.74</v>
      </c>
      <c r="C254">
        <v>33</v>
      </c>
      <c r="E254" s="15">
        <f t="shared" si="24"/>
        <v>1.1299999999999999</v>
      </c>
      <c r="F254" s="15">
        <f t="shared" si="24"/>
        <v>0.38</v>
      </c>
      <c r="G254" s="6">
        <v>13</v>
      </c>
    </row>
    <row r="255" spans="1:8">
      <c r="A255" s="15">
        <v>41.400000000000297</v>
      </c>
      <c r="B255" s="45">
        <f t="shared" si="23"/>
        <v>1.75</v>
      </c>
      <c r="C255">
        <v>34</v>
      </c>
      <c r="E255" s="15">
        <f t="shared" si="24"/>
        <v>1.1399999999999999</v>
      </c>
      <c r="F255" s="15">
        <f t="shared" si="24"/>
        <v>0.38</v>
      </c>
      <c r="G255" s="6">
        <v>14</v>
      </c>
    </row>
    <row r="256" spans="1:8">
      <c r="A256" s="15">
        <v>41.500000000000298</v>
      </c>
      <c r="B256" s="45">
        <f t="shared" si="23"/>
        <v>1.76</v>
      </c>
      <c r="C256">
        <v>35</v>
      </c>
      <c r="E256" s="15">
        <f t="shared" si="24"/>
        <v>1.1499999999999999</v>
      </c>
      <c r="F256" s="15">
        <f t="shared" si="24"/>
        <v>0.38</v>
      </c>
      <c r="G256" s="6">
        <v>15</v>
      </c>
    </row>
    <row r="257" spans="1:7">
      <c r="A257" s="15">
        <v>41.6000000000003</v>
      </c>
      <c r="B257" s="45">
        <f t="shared" si="23"/>
        <v>1.77</v>
      </c>
      <c r="C257">
        <v>36</v>
      </c>
      <c r="E257" s="15">
        <f t="shared" si="24"/>
        <v>1.1599999999999999</v>
      </c>
      <c r="F257" s="15">
        <f t="shared" si="24"/>
        <v>0.38</v>
      </c>
      <c r="G257" s="6">
        <v>16</v>
      </c>
    </row>
    <row r="258" spans="1:7">
      <c r="A258" s="15">
        <v>41.700000000000301</v>
      </c>
      <c r="B258" s="45">
        <f t="shared" si="23"/>
        <v>1.77</v>
      </c>
      <c r="C258">
        <v>37</v>
      </c>
      <c r="E258" s="15">
        <f t="shared" si="24"/>
        <v>1.17</v>
      </c>
      <c r="F258" s="15">
        <f t="shared" si="24"/>
        <v>0.38</v>
      </c>
      <c r="G258" s="6">
        <v>17</v>
      </c>
    </row>
    <row r="259" spans="1:7">
      <c r="A259" s="15">
        <v>41.800000000000303</v>
      </c>
      <c r="B259" s="45">
        <f t="shared" si="23"/>
        <v>1.78</v>
      </c>
      <c r="C259">
        <v>38</v>
      </c>
      <c r="E259" s="15">
        <f t="shared" si="24"/>
        <v>1.18</v>
      </c>
      <c r="F259" s="15">
        <f t="shared" si="24"/>
        <v>0.39</v>
      </c>
      <c r="G259" s="6">
        <v>18</v>
      </c>
    </row>
    <row r="260" spans="1:7">
      <c r="A260" s="15">
        <v>41.900000000000297</v>
      </c>
      <c r="B260" s="45">
        <f t="shared" si="23"/>
        <v>1.79</v>
      </c>
      <c r="C260">
        <v>39</v>
      </c>
      <c r="E260" s="15">
        <f t="shared" si="24"/>
        <v>1.19</v>
      </c>
      <c r="F260" s="15">
        <f t="shared" si="24"/>
        <v>0.39</v>
      </c>
      <c r="G260" s="6">
        <v>19</v>
      </c>
    </row>
    <row r="261" spans="1:7">
      <c r="A261" s="17">
        <v>42.000000000000298</v>
      </c>
      <c r="B261" s="46">
        <f>'4_Anzeichnungsprotokoll'!E32</f>
        <v>1.8</v>
      </c>
      <c r="C261" s="18">
        <v>0</v>
      </c>
      <c r="E261" s="15">
        <f t="shared" si="24"/>
        <v>1.2</v>
      </c>
      <c r="F261" s="15">
        <f t="shared" si="24"/>
        <v>0.39</v>
      </c>
      <c r="G261" s="6">
        <v>20</v>
      </c>
    </row>
    <row r="262" spans="1:7">
      <c r="A262" s="15">
        <v>42.1000000000003</v>
      </c>
      <c r="B262" s="45">
        <f>ROUND(((B$301-B$261)/40*C262+B$261),2)</f>
        <v>1.81</v>
      </c>
      <c r="C262">
        <v>1</v>
      </c>
      <c r="E262" s="15">
        <f t="shared" si="24"/>
        <v>1.21</v>
      </c>
      <c r="F262" s="15">
        <f t="shared" si="24"/>
        <v>0.39</v>
      </c>
      <c r="G262" s="6">
        <v>21</v>
      </c>
    </row>
    <row r="263" spans="1:7">
      <c r="A263" s="15">
        <v>42.200000000000301</v>
      </c>
      <c r="B263" s="45">
        <f t="shared" ref="B263:B300" si="25">ROUND(((B$301-B$261)/40*C263+B$261),2)</f>
        <v>1.82</v>
      </c>
      <c r="C263">
        <v>2</v>
      </c>
      <c r="E263" s="15">
        <f t="shared" si="24"/>
        <v>1.22</v>
      </c>
      <c r="F263" s="15">
        <f t="shared" si="24"/>
        <v>0.39</v>
      </c>
      <c r="G263" s="6">
        <v>22</v>
      </c>
    </row>
    <row r="264" spans="1:7">
      <c r="A264" s="15">
        <v>42.300000000000303</v>
      </c>
      <c r="B264" s="45">
        <f t="shared" si="25"/>
        <v>1.83</v>
      </c>
      <c r="C264">
        <v>3</v>
      </c>
      <c r="E264" s="15">
        <f t="shared" si="24"/>
        <v>1.23</v>
      </c>
      <c r="F264" s="15">
        <f t="shared" si="24"/>
        <v>0.4</v>
      </c>
      <c r="G264" s="6">
        <v>23</v>
      </c>
    </row>
    <row r="265" spans="1:7">
      <c r="A265" s="15">
        <v>42.400000000000297</v>
      </c>
      <c r="B265" s="45">
        <f t="shared" si="25"/>
        <v>1.84</v>
      </c>
      <c r="C265">
        <v>4</v>
      </c>
      <c r="E265" s="15">
        <f t="shared" si="24"/>
        <v>1.24</v>
      </c>
      <c r="F265" s="15">
        <f t="shared" si="24"/>
        <v>0.4</v>
      </c>
      <c r="G265" s="6">
        <v>24</v>
      </c>
    </row>
    <row r="266" spans="1:7">
      <c r="A266" s="15">
        <v>42.500000000000298</v>
      </c>
      <c r="B266" s="45">
        <f t="shared" si="25"/>
        <v>1.85</v>
      </c>
      <c r="C266">
        <v>5</v>
      </c>
      <c r="E266" s="15">
        <f t="shared" si="24"/>
        <v>1.25</v>
      </c>
      <c r="F266" s="15">
        <f t="shared" si="24"/>
        <v>0.4</v>
      </c>
      <c r="G266" s="6">
        <v>25</v>
      </c>
    </row>
    <row r="267" spans="1:7">
      <c r="A267" s="15">
        <v>42.6000000000003</v>
      </c>
      <c r="B267" s="45">
        <f t="shared" si="25"/>
        <v>1.86</v>
      </c>
      <c r="C267">
        <v>6</v>
      </c>
      <c r="E267" s="15">
        <f t="shared" si="24"/>
        <v>1.26</v>
      </c>
      <c r="F267" s="15">
        <f t="shared" si="24"/>
        <v>0.4</v>
      </c>
      <c r="G267" s="6">
        <v>26</v>
      </c>
    </row>
    <row r="268" spans="1:7">
      <c r="A268" s="15">
        <v>42.700000000000301</v>
      </c>
      <c r="B268" s="45">
        <f t="shared" si="25"/>
        <v>1.87</v>
      </c>
      <c r="C268">
        <v>7</v>
      </c>
      <c r="E268" s="15">
        <f t="shared" si="24"/>
        <v>1.27</v>
      </c>
      <c r="F268" s="15">
        <f t="shared" si="24"/>
        <v>0.4</v>
      </c>
      <c r="G268" s="6">
        <v>27</v>
      </c>
    </row>
    <row r="269" spans="1:7">
      <c r="A269" s="15">
        <v>42.800000000000303</v>
      </c>
      <c r="B269" s="45">
        <f t="shared" si="25"/>
        <v>1.88</v>
      </c>
      <c r="C269">
        <v>8</v>
      </c>
      <c r="E269" s="15">
        <f t="shared" si="24"/>
        <v>1.28</v>
      </c>
      <c r="F269" s="15">
        <f t="shared" si="24"/>
        <v>0.41</v>
      </c>
      <c r="G269" s="6">
        <v>28</v>
      </c>
    </row>
    <row r="270" spans="1:7">
      <c r="A270" s="15">
        <v>42.900000000000297</v>
      </c>
      <c r="B270" s="45">
        <f t="shared" si="25"/>
        <v>1.89</v>
      </c>
      <c r="C270">
        <v>9</v>
      </c>
      <c r="E270" s="15">
        <f t="shared" si="24"/>
        <v>1.29</v>
      </c>
      <c r="F270" s="15">
        <f t="shared" si="24"/>
        <v>0.41</v>
      </c>
      <c r="G270" s="6">
        <v>29</v>
      </c>
    </row>
    <row r="271" spans="1:7">
      <c r="A271" s="15">
        <v>43.000000000000298</v>
      </c>
      <c r="B271" s="45">
        <f t="shared" si="25"/>
        <v>1.9</v>
      </c>
      <c r="C271">
        <v>10</v>
      </c>
      <c r="E271" s="15">
        <f t="shared" si="24"/>
        <v>1.3</v>
      </c>
      <c r="F271" s="15">
        <f t="shared" si="24"/>
        <v>0.41</v>
      </c>
      <c r="G271" s="6">
        <v>30</v>
      </c>
    </row>
    <row r="272" spans="1:7">
      <c r="A272" s="15">
        <v>43.1000000000003</v>
      </c>
      <c r="B272" s="45">
        <f t="shared" si="25"/>
        <v>1.91</v>
      </c>
      <c r="C272">
        <v>11</v>
      </c>
      <c r="E272" s="15">
        <f t="shared" si="24"/>
        <v>1.31</v>
      </c>
      <c r="F272" s="15">
        <f t="shared" si="24"/>
        <v>0.41</v>
      </c>
      <c r="G272" s="6">
        <v>31</v>
      </c>
    </row>
    <row r="273" spans="1:7">
      <c r="A273" s="15">
        <v>43.200000000000301</v>
      </c>
      <c r="B273" s="45">
        <f t="shared" si="25"/>
        <v>1.92</v>
      </c>
      <c r="C273">
        <v>12</v>
      </c>
      <c r="E273" s="15">
        <f t="shared" si="24"/>
        <v>1.32</v>
      </c>
      <c r="F273" s="15">
        <f t="shared" si="24"/>
        <v>0.41</v>
      </c>
      <c r="G273" s="6">
        <v>32</v>
      </c>
    </row>
    <row r="274" spans="1:7">
      <c r="A274" s="15">
        <v>43.300000000000303</v>
      </c>
      <c r="B274" s="45">
        <f t="shared" si="25"/>
        <v>1.93</v>
      </c>
      <c r="C274">
        <v>13</v>
      </c>
      <c r="E274" s="15">
        <f t="shared" ref="E274:F305" si="26">ROUND((E$341-E$241)/100*$G274+E$241,2)</f>
        <v>1.33</v>
      </c>
      <c r="F274" s="15">
        <f t="shared" si="26"/>
        <v>0.42</v>
      </c>
      <c r="G274" s="6">
        <v>33</v>
      </c>
    </row>
    <row r="275" spans="1:7">
      <c r="A275" s="15">
        <v>43.400000000000396</v>
      </c>
      <c r="B275" s="45">
        <f t="shared" si="25"/>
        <v>1.94</v>
      </c>
      <c r="C275">
        <v>14</v>
      </c>
      <c r="E275" s="15">
        <f t="shared" si="26"/>
        <v>1.34</v>
      </c>
      <c r="F275" s="15">
        <f t="shared" si="26"/>
        <v>0.42</v>
      </c>
      <c r="G275" s="6">
        <v>34</v>
      </c>
    </row>
    <row r="276" spans="1:7">
      <c r="A276" s="15">
        <v>43.500000000000398</v>
      </c>
      <c r="B276" s="45">
        <f t="shared" si="25"/>
        <v>1.95</v>
      </c>
      <c r="C276">
        <v>15</v>
      </c>
      <c r="E276" s="15">
        <f t="shared" si="26"/>
        <v>1.35</v>
      </c>
      <c r="F276" s="15">
        <f t="shared" si="26"/>
        <v>0.42</v>
      </c>
      <c r="G276" s="6">
        <v>35</v>
      </c>
    </row>
    <row r="277" spans="1:7">
      <c r="A277" s="15">
        <v>43.600000000000399</v>
      </c>
      <c r="B277" s="45">
        <f t="shared" si="25"/>
        <v>1.96</v>
      </c>
      <c r="C277">
        <v>16</v>
      </c>
      <c r="E277" s="15">
        <f t="shared" si="26"/>
        <v>1.36</v>
      </c>
      <c r="F277" s="15">
        <f t="shared" si="26"/>
        <v>0.42</v>
      </c>
      <c r="G277" s="6">
        <v>36</v>
      </c>
    </row>
    <row r="278" spans="1:7">
      <c r="A278" s="15">
        <v>43.700000000000401</v>
      </c>
      <c r="B278" s="45">
        <f t="shared" si="25"/>
        <v>1.97</v>
      </c>
      <c r="C278">
        <v>17</v>
      </c>
      <c r="E278" s="15">
        <f t="shared" si="26"/>
        <v>1.37</v>
      </c>
      <c r="F278" s="15">
        <f t="shared" si="26"/>
        <v>0.42</v>
      </c>
      <c r="G278" s="6">
        <v>37</v>
      </c>
    </row>
    <row r="279" spans="1:7">
      <c r="A279" s="15">
        <v>43.800000000000402</v>
      </c>
      <c r="B279" s="45">
        <f t="shared" si="25"/>
        <v>1.98</v>
      </c>
      <c r="C279">
        <v>18</v>
      </c>
      <c r="E279" s="15">
        <f t="shared" si="26"/>
        <v>1.38</v>
      </c>
      <c r="F279" s="15">
        <f t="shared" si="26"/>
        <v>0.43</v>
      </c>
      <c r="G279" s="6">
        <v>38</v>
      </c>
    </row>
    <row r="280" spans="1:7">
      <c r="A280" s="15">
        <v>43.900000000000396</v>
      </c>
      <c r="B280" s="45">
        <f t="shared" si="25"/>
        <v>1.99</v>
      </c>
      <c r="C280">
        <v>19</v>
      </c>
      <c r="E280" s="15">
        <f t="shared" si="26"/>
        <v>1.39</v>
      </c>
      <c r="F280" s="15">
        <f t="shared" si="26"/>
        <v>0.43</v>
      </c>
      <c r="G280" s="6">
        <v>39</v>
      </c>
    </row>
    <row r="281" spans="1:7">
      <c r="A281" s="15">
        <v>44.000000000000398</v>
      </c>
      <c r="B281" s="45">
        <f t="shared" si="25"/>
        <v>2</v>
      </c>
      <c r="C281">
        <v>20</v>
      </c>
      <c r="E281" s="15">
        <f t="shared" si="26"/>
        <v>1.4</v>
      </c>
      <c r="F281" s="15">
        <f t="shared" si="26"/>
        <v>0.43</v>
      </c>
      <c r="G281" s="6">
        <v>40</v>
      </c>
    </row>
    <row r="282" spans="1:7">
      <c r="A282" s="15">
        <v>44.100000000000399</v>
      </c>
      <c r="B282" s="45">
        <f t="shared" si="25"/>
        <v>2.0099999999999998</v>
      </c>
      <c r="C282">
        <v>21</v>
      </c>
      <c r="E282" s="15">
        <f t="shared" si="26"/>
        <v>1.41</v>
      </c>
      <c r="F282" s="15">
        <f t="shared" si="26"/>
        <v>0.43</v>
      </c>
      <c r="G282" s="6">
        <v>41</v>
      </c>
    </row>
    <row r="283" spans="1:7">
      <c r="A283" s="15">
        <v>44.200000000000401</v>
      </c>
      <c r="B283" s="45">
        <f t="shared" si="25"/>
        <v>2.02</v>
      </c>
      <c r="C283">
        <v>22</v>
      </c>
      <c r="E283" s="15">
        <f t="shared" si="26"/>
        <v>1.42</v>
      </c>
      <c r="F283" s="15">
        <f t="shared" si="26"/>
        <v>0.43</v>
      </c>
      <c r="G283" s="6">
        <v>42</v>
      </c>
    </row>
    <row r="284" spans="1:7">
      <c r="A284" s="15">
        <v>44.300000000000402</v>
      </c>
      <c r="B284" s="45">
        <f t="shared" si="25"/>
        <v>2.0299999999999998</v>
      </c>
      <c r="C284">
        <v>23</v>
      </c>
      <c r="E284" s="15">
        <f t="shared" si="26"/>
        <v>1.43</v>
      </c>
      <c r="F284" s="15">
        <f t="shared" si="26"/>
        <v>0.44</v>
      </c>
      <c r="G284" s="6">
        <v>43</v>
      </c>
    </row>
    <row r="285" spans="1:7">
      <c r="A285" s="15">
        <v>44.400000000000396</v>
      </c>
      <c r="B285" s="45">
        <f t="shared" si="25"/>
        <v>2.04</v>
      </c>
      <c r="C285">
        <v>24</v>
      </c>
      <c r="E285" s="15">
        <f t="shared" si="26"/>
        <v>1.44</v>
      </c>
      <c r="F285" s="15">
        <f t="shared" si="26"/>
        <v>0.44</v>
      </c>
      <c r="G285" s="6">
        <v>44</v>
      </c>
    </row>
    <row r="286" spans="1:7">
      <c r="A286" s="15">
        <v>44.500000000000398</v>
      </c>
      <c r="B286" s="45">
        <f t="shared" si="25"/>
        <v>2.0499999999999998</v>
      </c>
      <c r="C286">
        <v>25</v>
      </c>
      <c r="E286" s="15">
        <f t="shared" si="26"/>
        <v>1.45</v>
      </c>
      <c r="F286" s="15">
        <f t="shared" si="26"/>
        <v>0.44</v>
      </c>
      <c r="G286" s="6">
        <v>45</v>
      </c>
    </row>
    <row r="287" spans="1:7">
      <c r="A287" s="15">
        <v>44.600000000000399</v>
      </c>
      <c r="B287" s="45">
        <f t="shared" si="25"/>
        <v>2.06</v>
      </c>
      <c r="C287">
        <v>26</v>
      </c>
      <c r="E287" s="15">
        <f t="shared" si="26"/>
        <v>1.46</v>
      </c>
      <c r="F287" s="15">
        <f t="shared" si="26"/>
        <v>0.44</v>
      </c>
      <c r="G287" s="6">
        <v>46</v>
      </c>
    </row>
    <row r="288" spans="1:7">
      <c r="A288" s="15">
        <v>44.700000000000401</v>
      </c>
      <c r="B288" s="45">
        <f t="shared" si="25"/>
        <v>2.0699999999999998</v>
      </c>
      <c r="C288">
        <v>27</v>
      </c>
      <c r="E288" s="15">
        <f t="shared" si="26"/>
        <v>1.47</v>
      </c>
      <c r="F288" s="15">
        <f t="shared" si="26"/>
        <v>0.44</v>
      </c>
      <c r="G288" s="6">
        <v>47</v>
      </c>
    </row>
    <row r="289" spans="1:7">
      <c r="A289" s="15">
        <v>44.800000000000402</v>
      </c>
      <c r="B289" s="45">
        <f t="shared" si="25"/>
        <v>2.08</v>
      </c>
      <c r="C289">
        <v>28</v>
      </c>
      <c r="E289" s="15">
        <f t="shared" si="26"/>
        <v>1.48</v>
      </c>
      <c r="F289" s="15">
        <f t="shared" si="26"/>
        <v>0.45</v>
      </c>
      <c r="G289" s="6">
        <v>48</v>
      </c>
    </row>
    <row r="290" spans="1:7">
      <c r="A290" s="15">
        <v>44.900000000000396</v>
      </c>
      <c r="B290" s="45">
        <f t="shared" si="25"/>
        <v>2.09</v>
      </c>
      <c r="C290">
        <v>29</v>
      </c>
      <c r="E290" s="15">
        <f t="shared" si="26"/>
        <v>1.49</v>
      </c>
      <c r="F290" s="15">
        <f t="shared" si="26"/>
        <v>0.45</v>
      </c>
      <c r="G290" s="6">
        <v>49</v>
      </c>
    </row>
    <row r="291" spans="1:7">
      <c r="A291" s="15">
        <v>45.000000000000398</v>
      </c>
      <c r="B291" s="45">
        <f t="shared" si="25"/>
        <v>2.1</v>
      </c>
      <c r="C291">
        <v>30</v>
      </c>
      <c r="E291" s="15">
        <f t="shared" si="26"/>
        <v>1.5</v>
      </c>
      <c r="F291" s="15">
        <f t="shared" si="26"/>
        <v>0.45</v>
      </c>
      <c r="G291" s="6">
        <v>50</v>
      </c>
    </row>
    <row r="292" spans="1:7">
      <c r="A292" s="15">
        <v>45.100000000000399</v>
      </c>
      <c r="B292" s="45">
        <f t="shared" si="25"/>
        <v>2.11</v>
      </c>
      <c r="C292">
        <v>31</v>
      </c>
      <c r="E292" s="15">
        <f t="shared" si="26"/>
        <v>1.51</v>
      </c>
      <c r="F292" s="15">
        <f t="shared" si="26"/>
        <v>0.45</v>
      </c>
      <c r="G292" s="6">
        <v>51</v>
      </c>
    </row>
    <row r="293" spans="1:7">
      <c r="A293" s="15">
        <v>45.200000000000401</v>
      </c>
      <c r="B293" s="45">
        <f t="shared" si="25"/>
        <v>2.12</v>
      </c>
      <c r="C293">
        <v>32</v>
      </c>
      <c r="E293" s="15">
        <f t="shared" si="26"/>
        <v>1.52</v>
      </c>
      <c r="F293" s="15">
        <f t="shared" si="26"/>
        <v>0.45</v>
      </c>
      <c r="G293" s="6">
        <v>52</v>
      </c>
    </row>
    <row r="294" spans="1:7">
      <c r="A294" s="15">
        <v>45.300000000000402</v>
      </c>
      <c r="B294" s="45">
        <f t="shared" si="25"/>
        <v>2.13</v>
      </c>
      <c r="C294">
        <v>33</v>
      </c>
      <c r="E294" s="15">
        <f t="shared" si="26"/>
        <v>1.53</v>
      </c>
      <c r="F294" s="15">
        <f t="shared" si="26"/>
        <v>0.46</v>
      </c>
      <c r="G294" s="6">
        <v>53</v>
      </c>
    </row>
    <row r="295" spans="1:7">
      <c r="A295" s="15">
        <v>45.400000000000396</v>
      </c>
      <c r="B295" s="45">
        <f t="shared" si="25"/>
        <v>2.14</v>
      </c>
      <c r="C295">
        <v>34</v>
      </c>
      <c r="E295" s="15">
        <f t="shared" si="26"/>
        <v>1.54</v>
      </c>
      <c r="F295" s="15">
        <f t="shared" si="26"/>
        <v>0.46</v>
      </c>
      <c r="G295" s="6">
        <v>54</v>
      </c>
    </row>
    <row r="296" spans="1:7">
      <c r="A296" s="15">
        <v>45.500000000000398</v>
      </c>
      <c r="B296" s="45">
        <f t="shared" si="25"/>
        <v>2.15</v>
      </c>
      <c r="C296">
        <v>35</v>
      </c>
      <c r="E296" s="15">
        <f t="shared" si="26"/>
        <v>1.55</v>
      </c>
      <c r="F296" s="15">
        <f t="shared" si="26"/>
        <v>0.46</v>
      </c>
      <c r="G296" s="6">
        <v>55</v>
      </c>
    </row>
    <row r="297" spans="1:7">
      <c r="A297" s="15">
        <v>45.600000000000399</v>
      </c>
      <c r="B297" s="45">
        <f t="shared" si="25"/>
        <v>2.16</v>
      </c>
      <c r="C297">
        <v>36</v>
      </c>
      <c r="E297" s="15">
        <f t="shared" si="26"/>
        <v>1.56</v>
      </c>
      <c r="F297" s="15">
        <f t="shared" si="26"/>
        <v>0.46</v>
      </c>
      <c r="G297" s="6">
        <v>56</v>
      </c>
    </row>
    <row r="298" spans="1:7">
      <c r="A298" s="15">
        <v>45.700000000000401</v>
      </c>
      <c r="B298" s="45">
        <f t="shared" si="25"/>
        <v>2.17</v>
      </c>
      <c r="C298">
        <v>37</v>
      </c>
      <c r="E298" s="15">
        <f t="shared" si="26"/>
        <v>1.57</v>
      </c>
      <c r="F298" s="15">
        <f t="shared" si="26"/>
        <v>0.46</v>
      </c>
      <c r="G298" s="6">
        <v>57</v>
      </c>
    </row>
    <row r="299" spans="1:7">
      <c r="A299" s="15">
        <v>45.800000000000402</v>
      </c>
      <c r="B299" s="45">
        <f t="shared" si="25"/>
        <v>2.1800000000000002</v>
      </c>
      <c r="C299">
        <v>38</v>
      </c>
      <c r="E299" s="15">
        <f t="shared" si="26"/>
        <v>1.58</v>
      </c>
      <c r="F299" s="15">
        <f t="shared" si="26"/>
        <v>0.47</v>
      </c>
      <c r="G299" s="6">
        <v>58</v>
      </c>
    </row>
    <row r="300" spans="1:7">
      <c r="A300" s="15">
        <v>45.900000000000396</v>
      </c>
      <c r="B300" s="45">
        <f t="shared" si="25"/>
        <v>2.19</v>
      </c>
      <c r="C300">
        <v>39</v>
      </c>
      <c r="E300" s="15">
        <f t="shared" si="26"/>
        <v>1.59</v>
      </c>
      <c r="F300" s="15">
        <f t="shared" si="26"/>
        <v>0.47</v>
      </c>
      <c r="G300" s="6">
        <v>59</v>
      </c>
    </row>
    <row r="301" spans="1:7">
      <c r="A301" s="17">
        <v>46.000000000000398</v>
      </c>
      <c r="B301" s="46">
        <f>'4_Anzeichnungsprotokoll'!E33</f>
        <v>2.2000000000000002</v>
      </c>
      <c r="C301" s="18">
        <v>0</v>
      </c>
      <c r="E301" s="15">
        <f t="shared" si="26"/>
        <v>1.6</v>
      </c>
      <c r="F301" s="15">
        <f t="shared" si="26"/>
        <v>0.47</v>
      </c>
      <c r="G301" s="6">
        <v>60</v>
      </c>
    </row>
    <row r="302" spans="1:7">
      <c r="A302" s="15">
        <v>46.100000000000399</v>
      </c>
      <c r="B302" s="45">
        <f>ROUND(((B$341-B$301)/40*C302+B$301),2)</f>
        <v>2.21</v>
      </c>
      <c r="C302">
        <v>1</v>
      </c>
      <c r="E302" s="15">
        <f t="shared" si="26"/>
        <v>1.61</v>
      </c>
      <c r="F302" s="15">
        <f t="shared" si="26"/>
        <v>0.47</v>
      </c>
      <c r="G302" s="6">
        <v>61</v>
      </c>
    </row>
    <row r="303" spans="1:7">
      <c r="A303" s="15">
        <v>46.200000000000401</v>
      </c>
      <c r="B303" s="45">
        <f t="shared" ref="B303:B340" si="27">ROUND(((B$341-B$301)/40*C303+B$301),2)</f>
        <v>2.23</v>
      </c>
      <c r="C303">
        <v>2</v>
      </c>
      <c r="E303" s="15">
        <f t="shared" si="26"/>
        <v>1.62</v>
      </c>
      <c r="F303" s="15">
        <f t="shared" si="26"/>
        <v>0.47</v>
      </c>
      <c r="G303" s="6">
        <v>62</v>
      </c>
    </row>
    <row r="304" spans="1:7">
      <c r="A304" s="15">
        <v>46.300000000000402</v>
      </c>
      <c r="B304" s="45">
        <f t="shared" si="27"/>
        <v>2.2400000000000002</v>
      </c>
      <c r="C304">
        <v>3</v>
      </c>
      <c r="E304" s="15">
        <f t="shared" si="26"/>
        <v>1.63</v>
      </c>
      <c r="F304" s="15">
        <f t="shared" si="26"/>
        <v>0.48</v>
      </c>
      <c r="G304" s="6">
        <v>63</v>
      </c>
    </row>
    <row r="305" spans="1:7">
      <c r="A305" s="15">
        <v>46.400000000000396</v>
      </c>
      <c r="B305" s="45">
        <f t="shared" si="27"/>
        <v>2.25</v>
      </c>
      <c r="C305">
        <v>4</v>
      </c>
      <c r="E305" s="15">
        <f t="shared" si="26"/>
        <v>1.64</v>
      </c>
      <c r="F305" s="15">
        <f t="shared" si="26"/>
        <v>0.48</v>
      </c>
      <c r="G305" s="6">
        <v>64</v>
      </c>
    </row>
    <row r="306" spans="1:7">
      <c r="A306" s="15">
        <v>46.500000000000398</v>
      </c>
      <c r="B306" s="45">
        <f t="shared" si="27"/>
        <v>2.2599999999999998</v>
      </c>
      <c r="C306">
        <v>5</v>
      </c>
      <c r="E306" s="15">
        <f t="shared" ref="E306:F339" si="28">ROUND((E$341-E$241)/100*$G306+E$241,2)</f>
        <v>1.65</v>
      </c>
      <c r="F306" s="15">
        <f t="shared" si="28"/>
        <v>0.48</v>
      </c>
      <c r="G306" s="6">
        <v>65</v>
      </c>
    </row>
    <row r="307" spans="1:7">
      <c r="A307" s="15">
        <v>46.600000000000399</v>
      </c>
      <c r="B307" s="45">
        <f t="shared" si="27"/>
        <v>2.2799999999999998</v>
      </c>
      <c r="C307">
        <v>6</v>
      </c>
      <c r="E307" s="15">
        <f t="shared" si="28"/>
        <v>1.66</v>
      </c>
      <c r="F307" s="15">
        <f t="shared" si="28"/>
        <v>0.48</v>
      </c>
      <c r="G307" s="6">
        <v>66</v>
      </c>
    </row>
    <row r="308" spans="1:7">
      <c r="A308" s="15">
        <v>46.700000000000401</v>
      </c>
      <c r="B308" s="45">
        <f t="shared" si="27"/>
        <v>2.29</v>
      </c>
      <c r="C308">
        <v>7</v>
      </c>
      <c r="E308" s="15">
        <f t="shared" si="28"/>
        <v>1.67</v>
      </c>
      <c r="F308" s="15">
        <f t="shared" si="28"/>
        <v>0.48</v>
      </c>
      <c r="G308" s="6">
        <v>67</v>
      </c>
    </row>
    <row r="309" spans="1:7">
      <c r="A309" s="15">
        <v>46.800000000000402</v>
      </c>
      <c r="B309" s="45">
        <f t="shared" si="27"/>
        <v>2.2999999999999998</v>
      </c>
      <c r="C309">
        <v>8</v>
      </c>
      <c r="E309" s="15">
        <f t="shared" si="28"/>
        <v>1.68</v>
      </c>
      <c r="F309" s="15">
        <f t="shared" si="28"/>
        <v>0.49</v>
      </c>
      <c r="G309" s="6">
        <v>68</v>
      </c>
    </row>
    <row r="310" spans="1:7">
      <c r="A310" s="15">
        <v>46.900000000000396</v>
      </c>
      <c r="B310" s="45">
        <f t="shared" si="27"/>
        <v>2.31</v>
      </c>
      <c r="C310">
        <v>9</v>
      </c>
      <c r="E310" s="15">
        <f t="shared" si="28"/>
        <v>1.69</v>
      </c>
      <c r="F310" s="15">
        <f t="shared" si="28"/>
        <v>0.49</v>
      </c>
      <c r="G310" s="6">
        <v>69</v>
      </c>
    </row>
    <row r="311" spans="1:7">
      <c r="A311" s="15">
        <v>47.000000000000398</v>
      </c>
      <c r="B311" s="45">
        <f t="shared" si="27"/>
        <v>2.33</v>
      </c>
      <c r="C311">
        <v>10</v>
      </c>
      <c r="E311" s="15">
        <f t="shared" si="28"/>
        <v>1.7</v>
      </c>
      <c r="F311" s="15">
        <f t="shared" si="28"/>
        <v>0.49</v>
      </c>
      <c r="G311" s="6">
        <v>70</v>
      </c>
    </row>
    <row r="312" spans="1:7">
      <c r="A312" s="15">
        <v>47.100000000000399</v>
      </c>
      <c r="B312" s="45">
        <f t="shared" si="27"/>
        <v>2.34</v>
      </c>
      <c r="C312">
        <v>11</v>
      </c>
      <c r="E312" s="15">
        <f t="shared" si="28"/>
        <v>1.71</v>
      </c>
      <c r="F312" s="15">
        <f t="shared" si="28"/>
        <v>0.49</v>
      </c>
      <c r="G312" s="6">
        <v>71</v>
      </c>
    </row>
    <row r="313" spans="1:7">
      <c r="A313" s="15">
        <v>47.200000000000401</v>
      </c>
      <c r="B313" s="45">
        <f t="shared" si="27"/>
        <v>2.35</v>
      </c>
      <c r="C313">
        <v>12</v>
      </c>
      <c r="E313" s="15">
        <f t="shared" si="28"/>
        <v>1.72</v>
      </c>
      <c r="F313" s="15">
        <f t="shared" si="28"/>
        <v>0.49</v>
      </c>
      <c r="G313" s="6">
        <v>72</v>
      </c>
    </row>
    <row r="314" spans="1:7">
      <c r="A314" s="15">
        <v>47.300000000000402</v>
      </c>
      <c r="B314" s="45">
        <f t="shared" si="27"/>
        <v>2.36</v>
      </c>
      <c r="C314">
        <v>13</v>
      </c>
      <c r="E314" s="15">
        <f t="shared" si="28"/>
        <v>1.73</v>
      </c>
      <c r="F314" s="15">
        <f t="shared" si="28"/>
        <v>0.5</v>
      </c>
      <c r="G314" s="6">
        <v>73</v>
      </c>
    </row>
    <row r="315" spans="1:7">
      <c r="A315" s="15">
        <v>47.400000000000396</v>
      </c>
      <c r="B315" s="45">
        <f t="shared" si="27"/>
        <v>2.38</v>
      </c>
      <c r="C315">
        <v>14</v>
      </c>
      <c r="E315" s="15">
        <f t="shared" si="28"/>
        <v>1.74</v>
      </c>
      <c r="F315" s="15">
        <f t="shared" si="28"/>
        <v>0.5</v>
      </c>
      <c r="G315" s="6">
        <v>74</v>
      </c>
    </row>
    <row r="316" spans="1:7">
      <c r="A316" s="15">
        <v>47.500000000000398</v>
      </c>
      <c r="B316" s="45">
        <f t="shared" si="27"/>
        <v>2.39</v>
      </c>
      <c r="C316">
        <v>15</v>
      </c>
      <c r="E316" s="15">
        <f t="shared" si="28"/>
        <v>1.75</v>
      </c>
      <c r="F316" s="15">
        <f t="shared" si="28"/>
        <v>0.5</v>
      </c>
      <c r="G316" s="6">
        <v>75</v>
      </c>
    </row>
    <row r="317" spans="1:7">
      <c r="A317" s="15">
        <v>47.600000000000399</v>
      </c>
      <c r="B317" s="45">
        <f t="shared" si="27"/>
        <v>2.4</v>
      </c>
      <c r="C317">
        <v>16</v>
      </c>
      <c r="E317" s="15">
        <f t="shared" si="28"/>
        <v>1.76</v>
      </c>
      <c r="F317" s="15">
        <f t="shared" si="28"/>
        <v>0.5</v>
      </c>
      <c r="G317" s="6">
        <v>76</v>
      </c>
    </row>
    <row r="318" spans="1:7">
      <c r="A318" s="15">
        <v>47.700000000000401</v>
      </c>
      <c r="B318" s="45">
        <f t="shared" si="27"/>
        <v>2.41</v>
      </c>
      <c r="C318">
        <v>17</v>
      </c>
      <c r="E318" s="15">
        <f t="shared" si="28"/>
        <v>1.77</v>
      </c>
      <c r="F318" s="15">
        <f t="shared" si="28"/>
        <v>0.5</v>
      </c>
      <c r="G318" s="6">
        <v>77</v>
      </c>
    </row>
    <row r="319" spans="1:7">
      <c r="A319" s="15">
        <v>47.800000000000402</v>
      </c>
      <c r="B319" s="45">
        <f t="shared" si="27"/>
        <v>2.4300000000000002</v>
      </c>
      <c r="C319">
        <v>18</v>
      </c>
      <c r="E319" s="15">
        <f t="shared" si="28"/>
        <v>1.78</v>
      </c>
      <c r="F319" s="15">
        <f t="shared" si="28"/>
        <v>0.51</v>
      </c>
      <c r="G319" s="6">
        <v>78</v>
      </c>
    </row>
    <row r="320" spans="1:7">
      <c r="A320" s="15">
        <v>47.900000000000396</v>
      </c>
      <c r="B320" s="45">
        <f t="shared" si="27"/>
        <v>2.44</v>
      </c>
      <c r="C320">
        <v>19</v>
      </c>
      <c r="E320" s="15">
        <f t="shared" si="28"/>
        <v>1.79</v>
      </c>
      <c r="F320" s="15">
        <f t="shared" si="28"/>
        <v>0.51</v>
      </c>
      <c r="G320" s="6">
        <v>79</v>
      </c>
    </row>
    <row r="321" spans="1:7">
      <c r="A321" s="15">
        <v>48.000000000000398</v>
      </c>
      <c r="B321" s="45">
        <f t="shared" si="27"/>
        <v>2.4500000000000002</v>
      </c>
      <c r="C321">
        <v>20</v>
      </c>
      <c r="E321" s="15">
        <f t="shared" si="28"/>
        <v>1.8</v>
      </c>
      <c r="F321" s="15">
        <f t="shared" si="28"/>
        <v>0.51</v>
      </c>
      <c r="G321" s="6">
        <v>80</v>
      </c>
    </row>
    <row r="322" spans="1:7">
      <c r="A322" s="15">
        <v>48.100000000000399</v>
      </c>
      <c r="B322" s="45">
        <f t="shared" si="27"/>
        <v>2.46</v>
      </c>
      <c r="C322">
        <v>21</v>
      </c>
      <c r="E322" s="15">
        <f t="shared" si="28"/>
        <v>1.81</v>
      </c>
      <c r="F322" s="15">
        <f t="shared" si="28"/>
        <v>0.51</v>
      </c>
      <c r="G322" s="6">
        <v>81</v>
      </c>
    </row>
    <row r="323" spans="1:7">
      <c r="A323" s="15">
        <v>48.200000000000401</v>
      </c>
      <c r="B323" s="45">
        <f t="shared" si="27"/>
        <v>2.48</v>
      </c>
      <c r="C323">
        <v>22</v>
      </c>
      <c r="E323" s="15">
        <f t="shared" si="28"/>
        <v>1.82</v>
      </c>
      <c r="F323" s="15">
        <f t="shared" si="28"/>
        <v>0.51</v>
      </c>
      <c r="G323" s="6">
        <v>82</v>
      </c>
    </row>
    <row r="324" spans="1:7">
      <c r="A324" s="15">
        <v>48.300000000000402</v>
      </c>
      <c r="B324" s="45">
        <f t="shared" si="27"/>
        <v>2.4900000000000002</v>
      </c>
      <c r="C324">
        <v>23</v>
      </c>
      <c r="E324" s="15">
        <f t="shared" si="28"/>
        <v>1.83</v>
      </c>
      <c r="F324" s="15">
        <f t="shared" si="28"/>
        <v>0.52</v>
      </c>
      <c r="G324" s="6">
        <v>83</v>
      </c>
    </row>
    <row r="325" spans="1:7">
      <c r="A325" s="15">
        <v>48.400000000000396</v>
      </c>
      <c r="B325" s="45">
        <f t="shared" si="27"/>
        <v>2.5</v>
      </c>
      <c r="C325">
        <v>24</v>
      </c>
      <c r="E325" s="15">
        <f t="shared" si="28"/>
        <v>1.84</v>
      </c>
      <c r="F325" s="15">
        <f t="shared" si="28"/>
        <v>0.52</v>
      </c>
      <c r="G325" s="6">
        <v>84</v>
      </c>
    </row>
    <row r="326" spans="1:7">
      <c r="A326" s="15">
        <v>48.500000000000398</v>
      </c>
      <c r="B326" s="45">
        <f t="shared" si="27"/>
        <v>2.5099999999999998</v>
      </c>
      <c r="C326">
        <v>25</v>
      </c>
      <c r="E326" s="15">
        <f t="shared" si="28"/>
        <v>1.85</v>
      </c>
      <c r="F326" s="15">
        <f t="shared" si="28"/>
        <v>0.52</v>
      </c>
      <c r="G326" s="6">
        <v>85</v>
      </c>
    </row>
    <row r="327" spans="1:7">
      <c r="A327" s="15">
        <v>48.600000000000399</v>
      </c>
      <c r="B327" s="45">
        <f t="shared" si="27"/>
        <v>2.5299999999999998</v>
      </c>
      <c r="C327">
        <v>26</v>
      </c>
      <c r="E327" s="15">
        <f t="shared" si="28"/>
        <v>1.86</v>
      </c>
      <c r="F327" s="15">
        <f t="shared" si="28"/>
        <v>0.52</v>
      </c>
      <c r="G327" s="6">
        <v>86</v>
      </c>
    </row>
    <row r="328" spans="1:7">
      <c r="A328" s="15">
        <v>48.700000000000401</v>
      </c>
      <c r="B328" s="45">
        <f t="shared" si="27"/>
        <v>2.54</v>
      </c>
      <c r="C328">
        <v>27</v>
      </c>
      <c r="E328" s="15">
        <f t="shared" si="28"/>
        <v>1.87</v>
      </c>
      <c r="F328" s="15">
        <f t="shared" si="28"/>
        <v>0.52</v>
      </c>
      <c r="G328" s="6">
        <v>87</v>
      </c>
    </row>
    <row r="329" spans="1:7">
      <c r="A329" s="15">
        <v>48.800000000000402</v>
      </c>
      <c r="B329" s="45">
        <f t="shared" si="27"/>
        <v>2.5499999999999998</v>
      </c>
      <c r="C329">
        <v>28</v>
      </c>
      <c r="E329" s="15">
        <f t="shared" si="28"/>
        <v>1.88</v>
      </c>
      <c r="F329" s="15">
        <f t="shared" si="28"/>
        <v>0.53</v>
      </c>
      <c r="G329" s="6">
        <v>88</v>
      </c>
    </row>
    <row r="330" spans="1:7">
      <c r="A330" s="15">
        <v>48.900000000000396</v>
      </c>
      <c r="B330" s="45">
        <f t="shared" si="27"/>
        <v>2.56</v>
      </c>
      <c r="C330">
        <v>29</v>
      </c>
      <c r="E330" s="15">
        <f t="shared" si="28"/>
        <v>1.89</v>
      </c>
      <c r="F330" s="15">
        <f t="shared" si="28"/>
        <v>0.53</v>
      </c>
      <c r="G330" s="6">
        <v>89</v>
      </c>
    </row>
    <row r="331" spans="1:7">
      <c r="A331" s="15">
        <v>49.000000000000398</v>
      </c>
      <c r="B331" s="45">
        <f t="shared" si="27"/>
        <v>2.58</v>
      </c>
      <c r="C331">
        <v>30</v>
      </c>
      <c r="E331" s="15">
        <f t="shared" si="28"/>
        <v>1.9</v>
      </c>
      <c r="F331" s="15">
        <f t="shared" si="28"/>
        <v>0.53</v>
      </c>
      <c r="G331" s="6">
        <v>90</v>
      </c>
    </row>
    <row r="332" spans="1:7">
      <c r="A332" s="15">
        <v>49.100000000000399</v>
      </c>
      <c r="B332" s="45">
        <f t="shared" si="27"/>
        <v>2.59</v>
      </c>
      <c r="C332">
        <v>31</v>
      </c>
      <c r="E332" s="15">
        <f t="shared" si="28"/>
        <v>1.91</v>
      </c>
      <c r="F332" s="15">
        <f t="shared" si="28"/>
        <v>0.53</v>
      </c>
      <c r="G332" s="6">
        <v>91</v>
      </c>
    </row>
    <row r="333" spans="1:7">
      <c r="A333" s="15">
        <v>49.200000000000401</v>
      </c>
      <c r="B333" s="45">
        <f t="shared" si="27"/>
        <v>2.6</v>
      </c>
      <c r="C333">
        <v>32</v>
      </c>
      <c r="E333" s="15">
        <f t="shared" si="28"/>
        <v>1.92</v>
      </c>
      <c r="F333" s="15">
        <f t="shared" si="28"/>
        <v>0.53</v>
      </c>
      <c r="G333" s="6">
        <v>92</v>
      </c>
    </row>
    <row r="334" spans="1:7">
      <c r="A334" s="15">
        <v>49.300000000000402</v>
      </c>
      <c r="B334" s="45">
        <f t="shared" si="27"/>
        <v>2.61</v>
      </c>
      <c r="C334">
        <v>33</v>
      </c>
      <c r="E334" s="15">
        <f t="shared" si="28"/>
        <v>1.93</v>
      </c>
      <c r="F334" s="15">
        <f t="shared" si="28"/>
        <v>0.54</v>
      </c>
      <c r="G334" s="6">
        <v>93</v>
      </c>
    </row>
    <row r="335" spans="1:7">
      <c r="A335" s="15">
        <v>49.400000000000396</v>
      </c>
      <c r="B335" s="45">
        <f t="shared" si="27"/>
        <v>2.63</v>
      </c>
      <c r="C335">
        <v>34</v>
      </c>
      <c r="E335" s="15">
        <f t="shared" si="28"/>
        <v>1.94</v>
      </c>
      <c r="F335" s="15">
        <f t="shared" si="28"/>
        <v>0.54</v>
      </c>
      <c r="G335" s="6">
        <v>94</v>
      </c>
    </row>
    <row r="336" spans="1:7">
      <c r="A336" s="15">
        <v>49.500000000000398</v>
      </c>
      <c r="B336" s="45">
        <f t="shared" si="27"/>
        <v>2.64</v>
      </c>
      <c r="C336">
        <v>35</v>
      </c>
      <c r="E336" s="15">
        <f t="shared" si="28"/>
        <v>1.95</v>
      </c>
      <c r="F336" s="15">
        <f t="shared" si="28"/>
        <v>0.54</v>
      </c>
      <c r="G336" s="6">
        <v>95</v>
      </c>
    </row>
    <row r="337" spans="1:8">
      <c r="A337" s="15">
        <v>49.600000000000399</v>
      </c>
      <c r="B337" s="45">
        <f t="shared" si="27"/>
        <v>2.65</v>
      </c>
      <c r="C337">
        <v>36</v>
      </c>
      <c r="E337" s="15">
        <f t="shared" si="28"/>
        <v>1.96</v>
      </c>
      <c r="F337" s="15">
        <f t="shared" si="28"/>
        <v>0.54</v>
      </c>
      <c r="G337" s="6">
        <v>96</v>
      </c>
    </row>
    <row r="338" spans="1:8">
      <c r="A338" s="15">
        <v>49.700000000000401</v>
      </c>
      <c r="B338" s="45">
        <f t="shared" si="27"/>
        <v>2.66</v>
      </c>
      <c r="C338">
        <v>37</v>
      </c>
      <c r="E338" s="15">
        <f t="shared" si="28"/>
        <v>1.97</v>
      </c>
      <c r="F338" s="15">
        <f t="shared" si="28"/>
        <v>0.54</v>
      </c>
      <c r="G338" s="6">
        <v>97</v>
      </c>
    </row>
    <row r="339" spans="1:8">
      <c r="A339" s="15">
        <v>49.800000000000402</v>
      </c>
      <c r="B339" s="45">
        <f t="shared" si="27"/>
        <v>2.68</v>
      </c>
      <c r="C339">
        <v>38</v>
      </c>
      <c r="E339" s="15">
        <f t="shared" si="28"/>
        <v>1.98</v>
      </c>
      <c r="F339" s="15">
        <f t="shared" si="28"/>
        <v>0.55000000000000004</v>
      </c>
      <c r="G339" s="6">
        <v>98</v>
      </c>
    </row>
    <row r="340" spans="1:8">
      <c r="A340" s="15">
        <v>49.900000000000396</v>
      </c>
      <c r="B340" s="45">
        <f t="shared" si="27"/>
        <v>2.69</v>
      </c>
      <c r="C340">
        <v>39</v>
      </c>
      <c r="E340" s="15">
        <f>ROUND((E$341-E$241)/100*$G340+E$241,2)</f>
        <v>1.99</v>
      </c>
      <c r="F340" s="15">
        <f>ROUND((F$341-F$241)/100*$G340+F$241,2)</f>
        <v>0.55000000000000004</v>
      </c>
      <c r="G340" s="6">
        <v>99</v>
      </c>
    </row>
    <row r="341" spans="1:8">
      <c r="A341" s="17">
        <v>50.000000000000398</v>
      </c>
      <c r="B341" s="46">
        <f>'4_Anzeichnungsprotokoll'!E34</f>
        <v>2.7</v>
      </c>
      <c r="C341" s="18">
        <v>0</v>
      </c>
      <c r="E341" s="63">
        <v>2</v>
      </c>
      <c r="F341" s="63">
        <v>0.55000000000000004</v>
      </c>
      <c r="G341" s="6">
        <v>100</v>
      </c>
      <c r="H341" s="64"/>
    </row>
    <row r="342" spans="1:8">
      <c r="A342" s="15">
        <v>50.100000000000399</v>
      </c>
      <c r="B342" s="45">
        <f>ROUND(((B$381-B$341)/40*C342+B$341),2)</f>
        <v>2.71</v>
      </c>
      <c r="C342">
        <v>1</v>
      </c>
      <c r="E342" s="15">
        <f t="shared" ref="E342:F405" si="29">ROUND((E$821-E$341)/480*$G342+E$341,2)</f>
        <v>2.0099999999999998</v>
      </c>
      <c r="F342" s="15">
        <f t="shared" si="29"/>
        <v>0.55000000000000004</v>
      </c>
      <c r="G342" s="6">
        <v>1</v>
      </c>
    </row>
    <row r="343" spans="1:8">
      <c r="A343" s="15">
        <v>50.200000000000401</v>
      </c>
      <c r="B343" s="45">
        <f t="shared" ref="B343:B380" si="30">ROUND(((B$381-B$341)/40*C343+B$341),2)</f>
        <v>2.73</v>
      </c>
      <c r="C343">
        <v>2</v>
      </c>
      <c r="E343" s="15">
        <f t="shared" si="29"/>
        <v>2.02</v>
      </c>
      <c r="F343" s="15">
        <f t="shared" si="29"/>
        <v>0.56000000000000005</v>
      </c>
      <c r="G343" s="6">
        <v>2</v>
      </c>
    </row>
    <row r="344" spans="1:8">
      <c r="A344" s="15">
        <v>50.300000000000402</v>
      </c>
      <c r="B344" s="45">
        <f t="shared" si="30"/>
        <v>2.74</v>
      </c>
      <c r="C344">
        <v>3</v>
      </c>
      <c r="E344" s="15">
        <f t="shared" si="29"/>
        <v>2.0299999999999998</v>
      </c>
      <c r="F344" s="15">
        <f t="shared" si="29"/>
        <v>0.56000000000000005</v>
      </c>
      <c r="G344" s="6">
        <v>3</v>
      </c>
    </row>
    <row r="345" spans="1:8">
      <c r="A345" s="15">
        <v>50.400000000000503</v>
      </c>
      <c r="B345" s="45">
        <f t="shared" si="30"/>
        <v>2.75</v>
      </c>
      <c r="C345">
        <v>4</v>
      </c>
      <c r="E345" s="15">
        <f t="shared" si="29"/>
        <v>2.0499999999999998</v>
      </c>
      <c r="F345" s="15">
        <f t="shared" si="29"/>
        <v>0.56000000000000005</v>
      </c>
      <c r="G345" s="6">
        <v>4</v>
      </c>
    </row>
    <row r="346" spans="1:8">
      <c r="A346" s="15">
        <v>50.500000000000497</v>
      </c>
      <c r="B346" s="45">
        <f t="shared" si="30"/>
        <v>2.76</v>
      </c>
      <c r="C346">
        <v>5</v>
      </c>
      <c r="E346" s="15">
        <f t="shared" si="29"/>
        <v>2.06</v>
      </c>
      <c r="F346" s="15">
        <f t="shared" si="29"/>
        <v>0.56999999999999995</v>
      </c>
      <c r="G346" s="6">
        <v>5</v>
      </c>
    </row>
    <row r="347" spans="1:8">
      <c r="A347" s="15">
        <v>50.600000000000499</v>
      </c>
      <c r="B347" s="45">
        <f t="shared" si="30"/>
        <v>2.78</v>
      </c>
      <c r="C347">
        <v>6</v>
      </c>
      <c r="E347" s="15">
        <f t="shared" si="29"/>
        <v>2.0699999999999998</v>
      </c>
      <c r="F347" s="15">
        <f t="shared" si="29"/>
        <v>0.56999999999999995</v>
      </c>
      <c r="G347" s="6">
        <v>6</v>
      </c>
    </row>
    <row r="348" spans="1:8">
      <c r="A348" s="15">
        <v>50.7000000000005</v>
      </c>
      <c r="B348" s="45">
        <f t="shared" si="30"/>
        <v>2.79</v>
      </c>
      <c r="C348">
        <v>7</v>
      </c>
      <c r="E348" s="15">
        <f t="shared" si="29"/>
        <v>2.08</v>
      </c>
      <c r="F348" s="15">
        <f t="shared" si="29"/>
        <v>0.56999999999999995</v>
      </c>
      <c r="G348" s="6">
        <v>7</v>
      </c>
    </row>
    <row r="349" spans="1:8">
      <c r="A349" s="15">
        <v>50.800000000000502</v>
      </c>
      <c r="B349" s="45">
        <f t="shared" si="30"/>
        <v>2.8</v>
      </c>
      <c r="C349">
        <v>8</v>
      </c>
      <c r="E349" s="15">
        <f t="shared" si="29"/>
        <v>2.09</v>
      </c>
      <c r="F349" s="15">
        <f t="shared" si="29"/>
        <v>0.57999999999999996</v>
      </c>
      <c r="G349" s="6">
        <v>8</v>
      </c>
    </row>
    <row r="350" spans="1:8">
      <c r="A350" s="15">
        <v>50.900000000000503</v>
      </c>
      <c r="B350" s="45">
        <f t="shared" si="30"/>
        <v>2.81</v>
      </c>
      <c r="C350">
        <v>9</v>
      </c>
      <c r="E350" s="15">
        <f t="shared" si="29"/>
        <v>2.1</v>
      </c>
      <c r="F350" s="15">
        <f t="shared" si="29"/>
        <v>0.57999999999999996</v>
      </c>
      <c r="G350" s="6">
        <v>9</v>
      </c>
    </row>
    <row r="351" spans="1:8">
      <c r="A351" s="15">
        <v>51.000000000000497</v>
      </c>
      <c r="B351" s="45">
        <f t="shared" si="30"/>
        <v>2.83</v>
      </c>
      <c r="C351">
        <v>10</v>
      </c>
      <c r="E351" s="15">
        <f t="shared" si="29"/>
        <v>2.12</v>
      </c>
      <c r="F351" s="15">
        <f t="shared" si="29"/>
        <v>0.59</v>
      </c>
      <c r="G351" s="6">
        <v>10</v>
      </c>
    </row>
    <row r="352" spans="1:8">
      <c r="A352" s="15">
        <v>51.100000000000499</v>
      </c>
      <c r="B352" s="45">
        <f t="shared" si="30"/>
        <v>2.84</v>
      </c>
      <c r="C352">
        <v>11</v>
      </c>
      <c r="E352" s="15">
        <f t="shared" si="29"/>
        <v>2.13</v>
      </c>
      <c r="F352" s="15">
        <f t="shared" si="29"/>
        <v>0.59</v>
      </c>
      <c r="G352" s="6">
        <v>11</v>
      </c>
    </row>
    <row r="353" spans="1:7">
      <c r="A353" s="15">
        <v>51.2000000000005</v>
      </c>
      <c r="B353" s="45">
        <f t="shared" si="30"/>
        <v>2.85</v>
      </c>
      <c r="C353">
        <v>12</v>
      </c>
      <c r="E353" s="15">
        <f t="shared" si="29"/>
        <v>2.14</v>
      </c>
      <c r="F353" s="15">
        <f t="shared" si="29"/>
        <v>0.59</v>
      </c>
      <c r="G353" s="6">
        <v>12</v>
      </c>
    </row>
    <row r="354" spans="1:7">
      <c r="A354" s="15">
        <v>51.300000000000502</v>
      </c>
      <c r="B354" s="45">
        <f t="shared" si="30"/>
        <v>2.86</v>
      </c>
      <c r="C354">
        <v>13</v>
      </c>
      <c r="E354" s="15">
        <f t="shared" si="29"/>
        <v>2.15</v>
      </c>
      <c r="F354" s="15">
        <f t="shared" si="29"/>
        <v>0.6</v>
      </c>
      <c r="G354" s="6">
        <v>13</v>
      </c>
    </row>
    <row r="355" spans="1:7">
      <c r="A355" s="15">
        <v>51.400000000000503</v>
      </c>
      <c r="B355" s="45">
        <f t="shared" si="30"/>
        <v>2.88</v>
      </c>
      <c r="C355">
        <v>14</v>
      </c>
      <c r="E355" s="15">
        <f t="shared" si="29"/>
        <v>2.16</v>
      </c>
      <c r="F355" s="15">
        <f t="shared" si="29"/>
        <v>0.6</v>
      </c>
      <c r="G355" s="6">
        <v>14</v>
      </c>
    </row>
    <row r="356" spans="1:7">
      <c r="A356" s="15">
        <v>51.500000000000497</v>
      </c>
      <c r="B356" s="45">
        <f t="shared" si="30"/>
        <v>2.89</v>
      </c>
      <c r="C356">
        <v>15</v>
      </c>
      <c r="E356" s="15">
        <f t="shared" si="29"/>
        <v>2.17</v>
      </c>
      <c r="F356" s="15">
        <f t="shared" si="29"/>
        <v>0.6</v>
      </c>
      <c r="G356" s="6">
        <v>15</v>
      </c>
    </row>
    <row r="357" spans="1:7">
      <c r="A357" s="15">
        <v>51.600000000000499</v>
      </c>
      <c r="B357" s="45">
        <f t="shared" si="30"/>
        <v>2.9</v>
      </c>
      <c r="C357">
        <v>16</v>
      </c>
      <c r="E357" s="15">
        <f t="shared" si="29"/>
        <v>2.1800000000000002</v>
      </c>
      <c r="F357" s="15">
        <f t="shared" si="29"/>
        <v>0.61</v>
      </c>
      <c r="G357" s="6">
        <v>16</v>
      </c>
    </row>
    <row r="358" spans="1:7">
      <c r="A358" s="15">
        <v>51.7000000000005</v>
      </c>
      <c r="B358" s="45">
        <f t="shared" si="30"/>
        <v>2.91</v>
      </c>
      <c r="C358">
        <v>17</v>
      </c>
      <c r="E358" s="15">
        <f t="shared" si="29"/>
        <v>2.2000000000000002</v>
      </c>
      <c r="F358" s="15">
        <f t="shared" si="29"/>
        <v>0.61</v>
      </c>
      <c r="G358" s="6">
        <v>17</v>
      </c>
    </row>
    <row r="359" spans="1:7">
      <c r="A359" s="15">
        <v>51.800000000000502</v>
      </c>
      <c r="B359" s="45">
        <f t="shared" si="30"/>
        <v>2.93</v>
      </c>
      <c r="C359">
        <v>18</v>
      </c>
      <c r="E359" s="15">
        <f t="shared" si="29"/>
        <v>2.21</v>
      </c>
      <c r="F359" s="15">
        <f t="shared" si="29"/>
        <v>0.61</v>
      </c>
      <c r="G359" s="6">
        <v>18</v>
      </c>
    </row>
    <row r="360" spans="1:7">
      <c r="A360" s="15">
        <v>51.900000000000503</v>
      </c>
      <c r="B360" s="45">
        <f t="shared" si="30"/>
        <v>2.94</v>
      </c>
      <c r="C360">
        <v>19</v>
      </c>
      <c r="E360" s="15">
        <f t="shared" si="29"/>
        <v>2.2200000000000002</v>
      </c>
      <c r="F360" s="15">
        <f t="shared" si="29"/>
        <v>0.62</v>
      </c>
      <c r="G360" s="6">
        <v>19</v>
      </c>
    </row>
    <row r="361" spans="1:7">
      <c r="A361" s="15">
        <v>52.000000000000497</v>
      </c>
      <c r="B361" s="45">
        <f t="shared" si="30"/>
        <v>2.95</v>
      </c>
      <c r="C361">
        <v>20</v>
      </c>
      <c r="E361" s="15">
        <f t="shared" si="29"/>
        <v>2.23</v>
      </c>
      <c r="F361" s="15">
        <f t="shared" si="29"/>
        <v>0.62</v>
      </c>
      <c r="G361" s="6">
        <v>20</v>
      </c>
    </row>
    <row r="362" spans="1:7">
      <c r="A362" s="15">
        <v>52.100000000000499</v>
      </c>
      <c r="B362" s="45">
        <f t="shared" si="30"/>
        <v>2.96</v>
      </c>
      <c r="C362">
        <v>21</v>
      </c>
      <c r="E362" s="15">
        <f t="shared" si="29"/>
        <v>2.2400000000000002</v>
      </c>
      <c r="F362" s="15">
        <f t="shared" si="29"/>
        <v>0.62</v>
      </c>
      <c r="G362" s="6">
        <v>21</v>
      </c>
    </row>
    <row r="363" spans="1:7">
      <c r="A363" s="15">
        <v>52.2000000000005</v>
      </c>
      <c r="B363" s="45">
        <f t="shared" si="30"/>
        <v>2.98</v>
      </c>
      <c r="C363">
        <v>22</v>
      </c>
      <c r="E363" s="15">
        <f t="shared" si="29"/>
        <v>2.25</v>
      </c>
      <c r="F363" s="15">
        <f t="shared" si="29"/>
        <v>0.63</v>
      </c>
      <c r="G363" s="6">
        <v>22</v>
      </c>
    </row>
    <row r="364" spans="1:7">
      <c r="A364" s="15">
        <v>52.300000000000502</v>
      </c>
      <c r="B364" s="45">
        <f t="shared" si="30"/>
        <v>2.99</v>
      </c>
      <c r="C364">
        <v>23</v>
      </c>
      <c r="E364" s="15">
        <f t="shared" si="29"/>
        <v>2.27</v>
      </c>
      <c r="F364" s="15">
        <f t="shared" si="29"/>
        <v>0.63</v>
      </c>
      <c r="G364" s="6">
        <v>23</v>
      </c>
    </row>
    <row r="365" spans="1:7">
      <c r="A365" s="15">
        <v>52.400000000000503</v>
      </c>
      <c r="B365" s="45">
        <f t="shared" si="30"/>
        <v>3</v>
      </c>
      <c r="C365">
        <v>24</v>
      </c>
      <c r="E365" s="15">
        <f t="shared" si="29"/>
        <v>2.2799999999999998</v>
      </c>
      <c r="F365" s="15">
        <f t="shared" si="29"/>
        <v>0.64</v>
      </c>
      <c r="G365" s="6">
        <v>24</v>
      </c>
    </row>
    <row r="366" spans="1:7">
      <c r="A366" s="15">
        <v>52.500000000000497</v>
      </c>
      <c r="B366" s="45">
        <f t="shared" si="30"/>
        <v>3.01</v>
      </c>
      <c r="C366">
        <v>25</v>
      </c>
      <c r="E366" s="15">
        <f t="shared" si="29"/>
        <v>2.29</v>
      </c>
      <c r="F366" s="15">
        <f t="shared" si="29"/>
        <v>0.64</v>
      </c>
      <c r="G366" s="6">
        <v>25</v>
      </c>
    </row>
    <row r="367" spans="1:7">
      <c r="A367" s="15">
        <v>52.600000000000499</v>
      </c>
      <c r="B367" s="45">
        <f t="shared" si="30"/>
        <v>3.03</v>
      </c>
      <c r="C367">
        <v>26</v>
      </c>
      <c r="E367" s="15">
        <f t="shared" si="29"/>
        <v>2.2999999999999998</v>
      </c>
      <c r="F367" s="15">
        <f t="shared" si="29"/>
        <v>0.64</v>
      </c>
      <c r="G367" s="6">
        <v>26</v>
      </c>
    </row>
    <row r="368" spans="1:7">
      <c r="A368" s="15">
        <v>52.7000000000005</v>
      </c>
      <c r="B368" s="45">
        <f t="shared" si="30"/>
        <v>3.04</v>
      </c>
      <c r="C368">
        <v>27</v>
      </c>
      <c r="E368" s="15">
        <f t="shared" si="29"/>
        <v>2.31</v>
      </c>
      <c r="F368" s="15">
        <f t="shared" si="29"/>
        <v>0.65</v>
      </c>
      <c r="G368" s="6">
        <v>27</v>
      </c>
    </row>
    <row r="369" spans="1:7">
      <c r="A369" s="15">
        <v>52.800000000000502</v>
      </c>
      <c r="B369" s="45">
        <f t="shared" si="30"/>
        <v>3.05</v>
      </c>
      <c r="C369">
        <v>28</v>
      </c>
      <c r="E369" s="15">
        <f t="shared" si="29"/>
        <v>2.3199999999999998</v>
      </c>
      <c r="F369" s="15">
        <f t="shared" si="29"/>
        <v>0.65</v>
      </c>
      <c r="G369" s="6">
        <v>28</v>
      </c>
    </row>
    <row r="370" spans="1:7">
      <c r="A370" s="15">
        <v>52.900000000000503</v>
      </c>
      <c r="B370" s="45">
        <f t="shared" si="30"/>
        <v>3.06</v>
      </c>
      <c r="C370">
        <v>29</v>
      </c>
      <c r="E370" s="15">
        <f t="shared" si="29"/>
        <v>2.33</v>
      </c>
      <c r="F370" s="15">
        <f t="shared" si="29"/>
        <v>0.65</v>
      </c>
      <c r="G370" s="6">
        <v>29</v>
      </c>
    </row>
    <row r="371" spans="1:7">
      <c r="A371" s="15">
        <v>53.000000000000497</v>
      </c>
      <c r="B371" s="45">
        <f t="shared" si="30"/>
        <v>3.08</v>
      </c>
      <c r="C371">
        <v>30</v>
      </c>
      <c r="E371" s="15">
        <f t="shared" si="29"/>
        <v>2.35</v>
      </c>
      <c r="F371" s="15">
        <f t="shared" si="29"/>
        <v>0.66</v>
      </c>
      <c r="G371" s="6">
        <v>30</v>
      </c>
    </row>
    <row r="372" spans="1:7">
      <c r="A372" s="15">
        <v>53.100000000000499</v>
      </c>
      <c r="B372" s="45">
        <f t="shared" si="30"/>
        <v>3.09</v>
      </c>
      <c r="C372">
        <v>31</v>
      </c>
      <c r="E372" s="15">
        <f t="shared" si="29"/>
        <v>2.36</v>
      </c>
      <c r="F372" s="15">
        <f t="shared" si="29"/>
        <v>0.66</v>
      </c>
      <c r="G372" s="6">
        <v>31</v>
      </c>
    </row>
    <row r="373" spans="1:7">
      <c r="A373" s="15">
        <v>53.2000000000005</v>
      </c>
      <c r="B373" s="45">
        <f t="shared" si="30"/>
        <v>3.1</v>
      </c>
      <c r="C373">
        <v>32</v>
      </c>
      <c r="E373" s="15">
        <f t="shared" si="29"/>
        <v>2.37</v>
      </c>
      <c r="F373" s="15">
        <f t="shared" si="29"/>
        <v>0.66</v>
      </c>
      <c r="G373" s="6">
        <v>32</v>
      </c>
    </row>
    <row r="374" spans="1:7">
      <c r="A374" s="15">
        <v>53.300000000000502</v>
      </c>
      <c r="B374" s="45">
        <f t="shared" si="30"/>
        <v>3.11</v>
      </c>
      <c r="C374">
        <v>33</v>
      </c>
      <c r="E374" s="15">
        <f t="shared" si="29"/>
        <v>2.38</v>
      </c>
      <c r="F374" s="15">
        <f t="shared" si="29"/>
        <v>0.67</v>
      </c>
      <c r="G374" s="6">
        <v>33</v>
      </c>
    </row>
    <row r="375" spans="1:7">
      <c r="A375" s="15">
        <v>53.400000000000503</v>
      </c>
      <c r="B375" s="45">
        <f t="shared" si="30"/>
        <v>3.13</v>
      </c>
      <c r="C375">
        <v>34</v>
      </c>
      <c r="E375" s="15">
        <f t="shared" si="29"/>
        <v>2.39</v>
      </c>
      <c r="F375" s="15">
        <f t="shared" si="29"/>
        <v>0.67</v>
      </c>
      <c r="G375" s="6">
        <v>34</v>
      </c>
    </row>
    <row r="376" spans="1:7">
      <c r="A376" s="15">
        <v>53.500000000000497</v>
      </c>
      <c r="B376" s="45">
        <f t="shared" si="30"/>
        <v>3.14</v>
      </c>
      <c r="C376">
        <v>35</v>
      </c>
      <c r="E376" s="15">
        <f t="shared" si="29"/>
        <v>2.4</v>
      </c>
      <c r="F376" s="15">
        <f t="shared" si="29"/>
        <v>0.67</v>
      </c>
      <c r="G376" s="6">
        <v>35</v>
      </c>
    </row>
    <row r="377" spans="1:7">
      <c r="A377" s="15">
        <v>53.600000000000499</v>
      </c>
      <c r="B377" s="45">
        <f t="shared" si="30"/>
        <v>3.15</v>
      </c>
      <c r="C377">
        <v>36</v>
      </c>
      <c r="E377" s="15">
        <f t="shared" si="29"/>
        <v>2.42</v>
      </c>
      <c r="F377" s="15">
        <f t="shared" si="29"/>
        <v>0.68</v>
      </c>
      <c r="G377" s="6">
        <v>36</v>
      </c>
    </row>
    <row r="378" spans="1:7">
      <c r="A378" s="15">
        <v>53.7000000000005</v>
      </c>
      <c r="B378" s="45">
        <f t="shared" si="30"/>
        <v>3.16</v>
      </c>
      <c r="C378">
        <v>37</v>
      </c>
      <c r="E378" s="15">
        <f t="shared" si="29"/>
        <v>2.4300000000000002</v>
      </c>
      <c r="F378" s="15">
        <f t="shared" si="29"/>
        <v>0.68</v>
      </c>
      <c r="G378" s="6">
        <v>37</v>
      </c>
    </row>
    <row r="379" spans="1:7">
      <c r="A379" s="15">
        <v>53.800000000000502</v>
      </c>
      <c r="B379" s="45">
        <f t="shared" si="30"/>
        <v>3.18</v>
      </c>
      <c r="C379">
        <v>38</v>
      </c>
      <c r="E379" s="15">
        <f t="shared" si="29"/>
        <v>2.44</v>
      </c>
      <c r="F379" s="15">
        <f t="shared" si="29"/>
        <v>0.69</v>
      </c>
      <c r="G379" s="6">
        <v>38</v>
      </c>
    </row>
    <row r="380" spans="1:7">
      <c r="A380" s="15">
        <v>53.900000000000503</v>
      </c>
      <c r="B380" s="45">
        <f t="shared" si="30"/>
        <v>3.19</v>
      </c>
      <c r="C380">
        <v>39</v>
      </c>
      <c r="E380" s="15">
        <f t="shared" si="29"/>
        <v>2.4500000000000002</v>
      </c>
      <c r="F380" s="15">
        <f t="shared" si="29"/>
        <v>0.69</v>
      </c>
      <c r="G380" s="6">
        <v>39</v>
      </c>
    </row>
    <row r="381" spans="1:7">
      <c r="A381" s="17">
        <v>54.000000000000497</v>
      </c>
      <c r="B381" s="46">
        <f>'4_Anzeichnungsprotokoll'!E35</f>
        <v>3.2</v>
      </c>
      <c r="C381" s="18">
        <v>0</v>
      </c>
      <c r="E381" s="15">
        <f t="shared" si="29"/>
        <v>2.46</v>
      </c>
      <c r="F381" s="15">
        <f t="shared" si="29"/>
        <v>0.69</v>
      </c>
      <c r="G381" s="6">
        <v>40</v>
      </c>
    </row>
    <row r="382" spans="1:7">
      <c r="A382" s="15">
        <v>54.100000000000499</v>
      </c>
      <c r="B382" s="45">
        <f>ROUND(((B$421-B$381)/40*C382+B$381),2)</f>
        <v>3.21</v>
      </c>
      <c r="C382">
        <v>1</v>
      </c>
      <c r="E382" s="15">
        <f t="shared" si="29"/>
        <v>2.4700000000000002</v>
      </c>
      <c r="F382" s="15">
        <f t="shared" si="29"/>
        <v>0.7</v>
      </c>
      <c r="G382" s="6">
        <v>41</v>
      </c>
    </row>
    <row r="383" spans="1:7">
      <c r="A383" s="15">
        <v>54.2000000000005</v>
      </c>
      <c r="B383" s="45">
        <f t="shared" ref="B383:B420" si="31">ROUND(((B$421-B$381)/40*C383+B$381),2)</f>
        <v>3.23</v>
      </c>
      <c r="C383">
        <v>2</v>
      </c>
      <c r="E383" s="15">
        <f t="shared" si="29"/>
        <v>2.48</v>
      </c>
      <c r="F383" s="15">
        <f t="shared" si="29"/>
        <v>0.7</v>
      </c>
      <c r="G383" s="6">
        <v>42</v>
      </c>
    </row>
    <row r="384" spans="1:7">
      <c r="A384" s="15">
        <v>54.300000000000502</v>
      </c>
      <c r="B384" s="45">
        <f t="shared" si="31"/>
        <v>3.24</v>
      </c>
      <c r="C384">
        <v>3</v>
      </c>
      <c r="E384" s="15">
        <f t="shared" si="29"/>
        <v>2.5</v>
      </c>
      <c r="F384" s="15">
        <f t="shared" si="29"/>
        <v>0.7</v>
      </c>
      <c r="G384" s="6">
        <v>43</v>
      </c>
    </row>
    <row r="385" spans="1:7">
      <c r="A385" s="15">
        <v>54.400000000000503</v>
      </c>
      <c r="B385" s="45">
        <f t="shared" si="31"/>
        <v>3.25</v>
      </c>
      <c r="C385">
        <v>4</v>
      </c>
      <c r="E385" s="15">
        <f t="shared" si="29"/>
        <v>2.5099999999999998</v>
      </c>
      <c r="F385" s="15">
        <f t="shared" si="29"/>
        <v>0.71</v>
      </c>
      <c r="G385" s="6">
        <v>44</v>
      </c>
    </row>
    <row r="386" spans="1:7">
      <c r="A386" s="15">
        <v>54.500000000000497</v>
      </c>
      <c r="B386" s="45">
        <f t="shared" si="31"/>
        <v>3.26</v>
      </c>
      <c r="C386">
        <v>5</v>
      </c>
      <c r="E386" s="15">
        <f t="shared" si="29"/>
        <v>2.52</v>
      </c>
      <c r="F386" s="15">
        <f t="shared" si="29"/>
        <v>0.71</v>
      </c>
      <c r="G386" s="6">
        <v>45</v>
      </c>
    </row>
    <row r="387" spans="1:7">
      <c r="A387" s="15">
        <v>54.600000000000499</v>
      </c>
      <c r="B387" s="45">
        <f t="shared" si="31"/>
        <v>3.28</v>
      </c>
      <c r="C387">
        <v>6</v>
      </c>
      <c r="E387" s="15">
        <f t="shared" si="29"/>
        <v>2.5299999999999998</v>
      </c>
      <c r="F387" s="15">
        <f t="shared" si="29"/>
        <v>0.71</v>
      </c>
      <c r="G387" s="6">
        <v>46</v>
      </c>
    </row>
    <row r="388" spans="1:7">
      <c r="A388" s="15">
        <v>54.7000000000005</v>
      </c>
      <c r="B388" s="45">
        <f t="shared" si="31"/>
        <v>3.29</v>
      </c>
      <c r="C388">
        <v>7</v>
      </c>
      <c r="E388" s="15">
        <f t="shared" si="29"/>
        <v>2.54</v>
      </c>
      <c r="F388" s="15">
        <f t="shared" si="29"/>
        <v>0.72</v>
      </c>
      <c r="G388" s="6">
        <v>47</v>
      </c>
    </row>
    <row r="389" spans="1:7">
      <c r="A389" s="15">
        <v>54.800000000000502</v>
      </c>
      <c r="B389" s="45">
        <f t="shared" si="31"/>
        <v>3.3</v>
      </c>
      <c r="C389">
        <v>8</v>
      </c>
      <c r="E389" s="15">
        <f t="shared" si="29"/>
        <v>2.5499999999999998</v>
      </c>
      <c r="F389" s="15">
        <f t="shared" si="29"/>
        <v>0.72</v>
      </c>
      <c r="G389" s="6">
        <v>48</v>
      </c>
    </row>
    <row r="390" spans="1:7">
      <c r="A390" s="15">
        <v>54.900000000000503</v>
      </c>
      <c r="B390" s="45">
        <f t="shared" si="31"/>
        <v>3.31</v>
      </c>
      <c r="C390">
        <v>9</v>
      </c>
      <c r="E390" s="15">
        <f t="shared" si="29"/>
        <v>2.57</v>
      </c>
      <c r="F390" s="15">
        <f t="shared" si="29"/>
        <v>0.72</v>
      </c>
      <c r="G390" s="6">
        <v>49</v>
      </c>
    </row>
    <row r="391" spans="1:7">
      <c r="A391" s="15">
        <v>55.000000000000497</v>
      </c>
      <c r="B391" s="45">
        <f t="shared" si="31"/>
        <v>3.33</v>
      </c>
      <c r="C391">
        <v>10</v>
      </c>
      <c r="E391" s="15">
        <f t="shared" si="29"/>
        <v>2.58</v>
      </c>
      <c r="F391" s="15">
        <f t="shared" si="29"/>
        <v>0.73</v>
      </c>
      <c r="G391" s="6">
        <v>50</v>
      </c>
    </row>
    <row r="392" spans="1:7">
      <c r="A392" s="15">
        <v>55.100000000000499</v>
      </c>
      <c r="B392" s="45">
        <f t="shared" si="31"/>
        <v>3.34</v>
      </c>
      <c r="C392">
        <v>11</v>
      </c>
      <c r="E392" s="15">
        <f t="shared" si="29"/>
        <v>2.59</v>
      </c>
      <c r="F392" s="15">
        <f t="shared" si="29"/>
        <v>0.73</v>
      </c>
      <c r="G392" s="6">
        <v>51</v>
      </c>
    </row>
    <row r="393" spans="1:7">
      <c r="A393" s="15">
        <v>55.2000000000005</v>
      </c>
      <c r="B393" s="45">
        <f t="shared" si="31"/>
        <v>3.35</v>
      </c>
      <c r="C393">
        <v>12</v>
      </c>
      <c r="E393" s="15">
        <f t="shared" si="29"/>
        <v>2.6</v>
      </c>
      <c r="F393" s="15">
        <f t="shared" si="29"/>
        <v>0.74</v>
      </c>
      <c r="G393" s="6">
        <v>52</v>
      </c>
    </row>
    <row r="394" spans="1:7">
      <c r="A394" s="15">
        <v>55.300000000000502</v>
      </c>
      <c r="B394" s="45">
        <f t="shared" si="31"/>
        <v>3.36</v>
      </c>
      <c r="C394">
        <v>13</v>
      </c>
      <c r="E394" s="15">
        <f t="shared" si="29"/>
        <v>2.61</v>
      </c>
      <c r="F394" s="15">
        <f t="shared" si="29"/>
        <v>0.74</v>
      </c>
      <c r="G394" s="6">
        <v>53</v>
      </c>
    </row>
    <row r="395" spans="1:7">
      <c r="A395" s="15">
        <v>55.400000000000503</v>
      </c>
      <c r="B395" s="45">
        <f t="shared" si="31"/>
        <v>3.38</v>
      </c>
      <c r="C395">
        <v>14</v>
      </c>
      <c r="E395" s="15">
        <f t="shared" si="29"/>
        <v>2.62</v>
      </c>
      <c r="F395" s="15">
        <f t="shared" si="29"/>
        <v>0.74</v>
      </c>
      <c r="G395" s="6">
        <v>54</v>
      </c>
    </row>
    <row r="396" spans="1:7">
      <c r="A396" s="15">
        <v>55.500000000000497</v>
      </c>
      <c r="B396" s="45">
        <f t="shared" si="31"/>
        <v>3.39</v>
      </c>
      <c r="C396">
        <v>15</v>
      </c>
      <c r="E396" s="15">
        <f t="shared" si="29"/>
        <v>2.63</v>
      </c>
      <c r="F396" s="15">
        <f t="shared" si="29"/>
        <v>0.75</v>
      </c>
      <c r="G396" s="6">
        <v>55</v>
      </c>
    </row>
    <row r="397" spans="1:7">
      <c r="A397" s="15">
        <v>55.600000000000499</v>
      </c>
      <c r="B397" s="45">
        <f t="shared" si="31"/>
        <v>3.4</v>
      </c>
      <c r="C397">
        <v>16</v>
      </c>
      <c r="E397" s="15">
        <f t="shared" si="29"/>
        <v>2.65</v>
      </c>
      <c r="F397" s="15">
        <f t="shared" si="29"/>
        <v>0.75</v>
      </c>
      <c r="G397" s="6">
        <v>56</v>
      </c>
    </row>
    <row r="398" spans="1:7">
      <c r="A398" s="15">
        <v>55.7000000000005</v>
      </c>
      <c r="B398" s="45">
        <f t="shared" si="31"/>
        <v>3.41</v>
      </c>
      <c r="C398">
        <v>17</v>
      </c>
      <c r="E398" s="15">
        <f t="shared" si="29"/>
        <v>2.66</v>
      </c>
      <c r="F398" s="15">
        <f t="shared" si="29"/>
        <v>0.75</v>
      </c>
      <c r="G398" s="6">
        <v>57</v>
      </c>
    </row>
    <row r="399" spans="1:7">
      <c r="A399" s="15">
        <v>55.800000000000502</v>
      </c>
      <c r="B399" s="45">
        <f t="shared" si="31"/>
        <v>3.43</v>
      </c>
      <c r="C399">
        <v>18</v>
      </c>
      <c r="E399" s="15">
        <f t="shared" si="29"/>
        <v>2.67</v>
      </c>
      <c r="F399" s="15">
        <f t="shared" si="29"/>
        <v>0.76</v>
      </c>
      <c r="G399" s="6">
        <v>58</v>
      </c>
    </row>
    <row r="400" spans="1:7">
      <c r="A400" s="15">
        <v>55.900000000000503</v>
      </c>
      <c r="B400" s="45">
        <f t="shared" si="31"/>
        <v>3.44</v>
      </c>
      <c r="C400">
        <v>19</v>
      </c>
      <c r="E400" s="15">
        <f t="shared" si="29"/>
        <v>2.68</v>
      </c>
      <c r="F400" s="15">
        <f t="shared" si="29"/>
        <v>0.76</v>
      </c>
      <c r="G400" s="6">
        <v>59</v>
      </c>
    </row>
    <row r="401" spans="1:7">
      <c r="A401" s="15">
        <v>56.000000000000497</v>
      </c>
      <c r="B401" s="45">
        <f t="shared" si="31"/>
        <v>3.45</v>
      </c>
      <c r="C401">
        <v>20</v>
      </c>
      <c r="E401" s="15">
        <f t="shared" si="29"/>
        <v>2.69</v>
      </c>
      <c r="F401" s="15">
        <f t="shared" si="29"/>
        <v>0.76</v>
      </c>
      <c r="G401" s="6">
        <v>60</v>
      </c>
    </row>
    <row r="402" spans="1:7">
      <c r="A402" s="15">
        <v>56.100000000000499</v>
      </c>
      <c r="B402" s="45">
        <f t="shared" si="31"/>
        <v>3.46</v>
      </c>
      <c r="C402">
        <v>21</v>
      </c>
      <c r="E402" s="15">
        <f t="shared" si="29"/>
        <v>2.7</v>
      </c>
      <c r="F402" s="15">
        <f t="shared" si="29"/>
        <v>0.77</v>
      </c>
      <c r="G402" s="6">
        <v>61</v>
      </c>
    </row>
    <row r="403" spans="1:7">
      <c r="A403" s="15">
        <v>56.2000000000005</v>
      </c>
      <c r="B403" s="45">
        <f t="shared" si="31"/>
        <v>3.48</v>
      </c>
      <c r="C403">
        <v>22</v>
      </c>
      <c r="E403" s="15">
        <f t="shared" si="29"/>
        <v>2.72</v>
      </c>
      <c r="F403" s="15">
        <f t="shared" si="29"/>
        <v>0.77</v>
      </c>
      <c r="G403" s="6">
        <v>62</v>
      </c>
    </row>
    <row r="404" spans="1:7">
      <c r="A404" s="15">
        <v>56.300000000000502</v>
      </c>
      <c r="B404" s="45">
        <f t="shared" si="31"/>
        <v>3.49</v>
      </c>
      <c r="C404">
        <v>23</v>
      </c>
      <c r="E404" s="15">
        <f t="shared" si="29"/>
        <v>2.73</v>
      </c>
      <c r="F404" s="15">
        <f t="shared" si="29"/>
        <v>0.77</v>
      </c>
      <c r="G404" s="6">
        <v>63</v>
      </c>
    </row>
    <row r="405" spans="1:7">
      <c r="A405" s="15">
        <v>56.400000000000503</v>
      </c>
      <c r="B405" s="45">
        <f t="shared" si="31"/>
        <v>3.5</v>
      </c>
      <c r="C405">
        <v>24</v>
      </c>
      <c r="E405" s="15">
        <f t="shared" si="29"/>
        <v>2.74</v>
      </c>
      <c r="F405" s="15">
        <f t="shared" si="29"/>
        <v>0.78</v>
      </c>
      <c r="G405" s="6">
        <v>64</v>
      </c>
    </row>
    <row r="406" spans="1:7">
      <c r="A406" s="15">
        <v>56.500000000000497</v>
      </c>
      <c r="B406" s="45">
        <f t="shared" si="31"/>
        <v>3.51</v>
      </c>
      <c r="C406">
        <v>25</v>
      </c>
      <c r="E406" s="15">
        <f t="shared" ref="E406:F469" si="32">ROUND((E$821-E$341)/480*$G406+E$341,2)</f>
        <v>2.75</v>
      </c>
      <c r="F406" s="15">
        <f t="shared" si="32"/>
        <v>0.78</v>
      </c>
      <c r="G406" s="6">
        <v>65</v>
      </c>
    </row>
    <row r="407" spans="1:7">
      <c r="A407" s="15">
        <v>56.600000000000499</v>
      </c>
      <c r="B407" s="45">
        <f t="shared" si="31"/>
        <v>3.53</v>
      </c>
      <c r="C407">
        <v>26</v>
      </c>
      <c r="E407" s="15">
        <f t="shared" si="32"/>
        <v>2.76</v>
      </c>
      <c r="F407" s="15">
        <f t="shared" si="32"/>
        <v>0.79</v>
      </c>
      <c r="G407" s="6">
        <v>66</v>
      </c>
    </row>
    <row r="408" spans="1:7">
      <c r="A408" s="15">
        <v>56.7000000000005</v>
      </c>
      <c r="B408" s="45">
        <f t="shared" si="31"/>
        <v>3.54</v>
      </c>
      <c r="C408">
        <v>27</v>
      </c>
      <c r="E408" s="15">
        <f t="shared" si="32"/>
        <v>2.77</v>
      </c>
      <c r="F408" s="15">
        <f t="shared" si="32"/>
        <v>0.79</v>
      </c>
      <c r="G408" s="6">
        <v>67</v>
      </c>
    </row>
    <row r="409" spans="1:7">
      <c r="A409" s="15">
        <v>56.800000000000502</v>
      </c>
      <c r="B409" s="45">
        <f t="shared" si="31"/>
        <v>3.55</v>
      </c>
      <c r="C409">
        <v>28</v>
      </c>
      <c r="E409" s="15">
        <f t="shared" si="32"/>
        <v>2.78</v>
      </c>
      <c r="F409" s="15">
        <f t="shared" si="32"/>
        <v>0.79</v>
      </c>
      <c r="G409" s="6">
        <v>68</v>
      </c>
    </row>
    <row r="410" spans="1:7">
      <c r="A410" s="15">
        <v>56.900000000000503</v>
      </c>
      <c r="B410" s="45">
        <f t="shared" si="31"/>
        <v>3.56</v>
      </c>
      <c r="C410">
        <v>29</v>
      </c>
      <c r="E410" s="15">
        <f t="shared" si="32"/>
        <v>2.8</v>
      </c>
      <c r="F410" s="15">
        <f t="shared" si="32"/>
        <v>0.8</v>
      </c>
      <c r="G410" s="6">
        <v>69</v>
      </c>
    </row>
    <row r="411" spans="1:7">
      <c r="A411" s="15">
        <v>57.000000000000497</v>
      </c>
      <c r="B411" s="45">
        <f t="shared" si="31"/>
        <v>3.58</v>
      </c>
      <c r="C411">
        <v>30</v>
      </c>
      <c r="E411" s="15">
        <f t="shared" si="32"/>
        <v>2.81</v>
      </c>
      <c r="F411" s="15">
        <f t="shared" si="32"/>
        <v>0.8</v>
      </c>
      <c r="G411" s="6">
        <v>70</v>
      </c>
    </row>
    <row r="412" spans="1:7">
      <c r="A412" s="15">
        <v>57.100000000000499</v>
      </c>
      <c r="B412" s="45">
        <f t="shared" si="31"/>
        <v>3.59</v>
      </c>
      <c r="C412">
        <v>31</v>
      </c>
      <c r="E412" s="15">
        <f t="shared" si="32"/>
        <v>2.82</v>
      </c>
      <c r="F412" s="15">
        <f t="shared" si="32"/>
        <v>0.8</v>
      </c>
      <c r="G412" s="6">
        <v>71</v>
      </c>
    </row>
    <row r="413" spans="1:7">
      <c r="A413" s="15">
        <v>57.2000000000005</v>
      </c>
      <c r="B413" s="45">
        <f t="shared" si="31"/>
        <v>3.6</v>
      </c>
      <c r="C413">
        <v>32</v>
      </c>
      <c r="E413" s="15">
        <f t="shared" si="32"/>
        <v>2.83</v>
      </c>
      <c r="F413" s="15">
        <f t="shared" si="32"/>
        <v>0.81</v>
      </c>
      <c r="G413" s="6">
        <v>72</v>
      </c>
    </row>
    <row r="414" spans="1:7">
      <c r="A414" s="15">
        <v>57.300000000000502</v>
      </c>
      <c r="B414" s="45">
        <f t="shared" si="31"/>
        <v>3.61</v>
      </c>
      <c r="C414">
        <v>33</v>
      </c>
      <c r="E414" s="15">
        <f t="shared" si="32"/>
        <v>2.84</v>
      </c>
      <c r="F414" s="15">
        <f t="shared" si="32"/>
        <v>0.81</v>
      </c>
      <c r="G414" s="6">
        <v>73</v>
      </c>
    </row>
    <row r="415" spans="1:7">
      <c r="A415" s="15">
        <v>57.400000000000503</v>
      </c>
      <c r="B415" s="45">
        <f t="shared" si="31"/>
        <v>3.63</v>
      </c>
      <c r="C415">
        <v>34</v>
      </c>
      <c r="E415" s="15">
        <f t="shared" si="32"/>
        <v>2.85</v>
      </c>
      <c r="F415" s="15">
        <f t="shared" si="32"/>
        <v>0.81</v>
      </c>
      <c r="G415" s="6">
        <v>74</v>
      </c>
    </row>
    <row r="416" spans="1:7">
      <c r="A416" s="15">
        <v>57.500000000000597</v>
      </c>
      <c r="B416" s="45">
        <f t="shared" si="31"/>
        <v>3.64</v>
      </c>
      <c r="C416">
        <v>35</v>
      </c>
      <c r="E416" s="15">
        <f t="shared" si="32"/>
        <v>2.87</v>
      </c>
      <c r="F416" s="15">
        <f t="shared" si="32"/>
        <v>0.82</v>
      </c>
      <c r="G416" s="6">
        <v>75</v>
      </c>
    </row>
    <row r="417" spans="1:7">
      <c r="A417" s="15">
        <v>57.600000000000598</v>
      </c>
      <c r="B417" s="45">
        <f t="shared" si="31"/>
        <v>3.65</v>
      </c>
      <c r="C417">
        <v>36</v>
      </c>
      <c r="E417" s="15">
        <f t="shared" si="32"/>
        <v>2.88</v>
      </c>
      <c r="F417" s="15">
        <f t="shared" si="32"/>
        <v>0.82</v>
      </c>
      <c r="G417" s="6">
        <v>76</v>
      </c>
    </row>
    <row r="418" spans="1:7">
      <c r="A418" s="15">
        <v>57.7000000000006</v>
      </c>
      <c r="B418" s="45">
        <f t="shared" si="31"/>
        <v>3.66</v>
      </c>
      <c r="C418">
        <v>37</v>
      </c>
      <c r="E418" s="15">
        <f t="shared" si="32"/>
        <v>2.89</v>
      </c>
      <c r="F418" s="15">
        <f t="shared" si="32"/>
        <v>0.82</v>
      </c>
      <c r="G418" s="6">
        <v>77</v>
      </c>
    </row>
    <row r="419" spans="1:7">
      <c r="A419" s="15">
        <v>57.800000000000601</v>
      </c>
      <c r="B419" s="45">
        <f t="shared" si="31"/>
        <v>3.68</v>
      </c>
      <c r="C419">
        <v>38</v>
      </c>
      <c r="E419" s="15">
        <f t="shared" si="32"/>
        <v>2.9</v>
      </c>
      <c r="F419" s="15">
        <f t="shared" si="32"/>
        <v>0.83</v>
      </c>
      <c r="G419" s="6">
        <v>78</v>
      </c>
    </row>
    <row r="420" spans="1:7">
      <c r="A420" s="15">
        <v>57.900000000000603</v>
      </c>
      <c r="B420" s="45">
        <f t="shared" si="31"/>
        <v>3.69</v>
      </c>
      <c r="C420">
        <v>39</v>
      </c>
      <c r="E420" s="15">
        <f t="shared" si="32"/>
        <v>2.91</v>
      </c>
      <c r="F420" s="15">
        <f t="shared" si="32"/>
        <v>0.83</v>
      </c>
      <c r="G420" s="6">
        <v>79</v>
      </c>
    </row>
    <row r="421" spans="1:7">
      <c r="A421" s="17">
        <v>58.000000000000597</v>
      </c>
      <c r="B421" s="46">
        <f>'4_Anzeichnungsprotokoll'!E36</f>
        <v>3.7</v>
      </c>
      <c r="C421" s="18">
        <v>0</v>
      </c>
      <c r="E421" s="15">
        <f t="shared" si="32"/>
        <v>2.92</v>
      </c>
      <c r="F421" s="15">
        <f t="shared" si="32"/>
        <v>0.84</v>
      </c>
      <c r="G421" s="6">
        <v>80</v>
      </c>
    </row>
    <row r="422" spans="1:7">
      <c r="A422" s="15">
        <v>58.100000000000598</v>
      </c>
      <c r="B422" s="45">
        <f>ROUND(((B$461-B$421)/40*C422+B$421),2)</f>
        <v>3.71</v>
      </c>
      <c r="C422">
        <v>1</v>
      </c>
      <c r="E422" s="15">
        <f t="shared" si="32"/>
        <v>2.93</v>
      </c>
      <c r="F422" s="15">
        <f t="shared" si="32"/>
        <v>0.84</v>
      </c>
      <c r="G422" s="6">
        <v>81</v>
      </c>
    </row>
    <row r="423" spans="1:7">
      <c r="A423" s="15">
        <v>58.2000000000006</v>
      </c>
      <c r="B423" s="45">
        <f t="shared" ref="B423:B460" si="33">ROUND(((B$461-B$421)/40*C423+B$421),2)</f>
        <v>3.73</v>
      </c>
      <c r="C423">
        <v>2</v>
      </c>
      <c r="E423" s="15">
        <f t="shared" si="32"/>
        <v>2.95</v>
      </c>
      <c r="F423" s="15">
        <f t="shared" si="32"/>
        <v>0.84</v>
      </c>
      <c r="G423" s="6">
        <v>82</v>
      </c>
    </row>
    <row r="424" spans="1:7">
      <c r="A424" s="15">
        <v>58.300000000000601</v>
      </c>
      <c r="B424" s="45">
        <f t="shared" si="33"/>
        <v>3.74</v>
      </c>
      <c r="C424">
        <v>3</v>
      </c>
      <c r="E424" s="15">
        <f t="shared" si="32"/>
        <v>2.96</v>
      </c>
      <c r="F424" s="15">
        <f t="shared" si="32"/>
        <v>0.85</v>
      </c>
      <c r="G424" s="6">
        <v>83</v>
      </c>
    </row>
    <row r="425" spans="1:7">
      <c r="A425" s="15">
        <v>58.400000000000603</v>
      </c>
      <c r="B425" s="45">
        <f t="shared" si="33"/>
        <v>3.75</v>
      </c>
      <c r="C425">
        <v>4</v>
      </c>
      <c r="E425" s="15">
        <f t="shared" si="32"/>
        <v>2.97</v>
      </c>
      <c r="F425" s="15">
        <f t="shared" si="32"/>
        <v>0.85</v>
      </c>
      <c r="G425" s="6">
        <v>84</v>
      </c>
    </row>
    <row r="426" spans="1:7">
      <c r="A426" s="15">
        <v>58.500000000000597</v>
      </c>
      <c r="B426" s="45">
        <f t="shared" si="33"/>
        <v>3.76</v>
      </c>
      <c r="C426">
        <v>5</v>
      </c>
      <c r="E426" s="15">
        <f t="shared" si="32"/>
        <v>2.98</v>
      </c>
      <c r="F426" s="15">
        <f t="shared" si="32"/>
        <v>0.85</v>
      </c>
      <c r="G426" s="6">
        <v>85</v>
      </c>
    </row>
    <row r="427" spans="1:7">
      <c r="A427" s="15">
        <v>58.600000000000598</v>
      </c>
      <c r="B427" s="45">
        <f t="shared" si="33"/>
        <v>3.78</v>
      </c>
      <c r="C427">
        <v>6</v>
      </c>
      <c r="E427" s="15">
        <f t="shared" si="32"/>
        <v>2.99</v>
      </c>
      <c r="F427" s="15">
        <f t="shared" si="32"/>
        <v>0.86</v>
      </c>
      <c r="G427" s="6">
        <v>86</v>
      </c>
    </row>
    <row r="428" spans="1:7">
      <c r="A428" s="15">
        <v>58.7000000000006</v>
      </c>
      <c r="B428" s="45">
        <f t="shared" si="33"/>
        <v>3.79</v>
      </c>
      <c r="C428">
        <v>7</v>
      </c>
      <c r="E428" s="15">
        <f t="shared" si="32"/>
        <v>3</v>
      </c>
      <c r="F428" s="15">
        <f t="shared" si="32"/>
        <v>0.86</v>
      </c>
      <c r="G428" s="6">
        <v>87</v>
      </c>
    </row>
    <row r="429" spans="1:7">
      <c r="A429" s="15">
        <v>58.800000000000601</v>
      </c>
      <c r="B429" s="45">
        <f t="shared" si="33"/>
        <v>3.8</v>
      </c>
      <c r="C429">
        <v>8</v>
      </c>
      <c r="E429" s="15">
        <f t="shared" si="32"/>
        <v>3.02</v>
      </c>
      <c r="F429" s="15">
        <f t="shared" si="32"/>
        <v>0.86</v>
      </c>
      <c r="G429" s="6">
        <v>88</v>
      </c>
    </row>
    <row r="430" spans="1:7">
      <c r="A430" s="15">
        <v>58.900000000000603</v>
      </c>
      <c r="B430" s="45">
        <f t="shared" si="33"/>
        <v>3.81</v>
      </c>
      <c r="C430">
        <v>9</v>
      </c>
      <c r="E430" s="15">
        <f t="shared" si="32"/>
        <v>3.03</v>
      </c>
      <c r="F430" s="15">
        <f t="shared" si="32"/>
        <v>0.87</v>
      </c>
      <c r="G430" s="6">
        <v>89</v>
      </c>
    </row>
    <row r="431" spans="1:7">
      <c r="A431" s="15">
        <v>59.000000000000597</v>
      </c>
      <c r="B431" s="45">
        <f t="shared" si="33"/>
        <v>3.83</v>
      </c>
      <c r="C431">
        <v>10</v>
      </c>
      <c r="E431" s="15">
        <f t="shared" si="32"/>
        <v>3.04</v>
      </c>
      <c r="F431" s="15">
        <f t="shared" si="32"/>
        <v>0.87</v>
      </c>
      <c r="G431" s="6">
        <v>90</v>
      </c>
    </row>
    <row r="432" spans="1:7">
      <c r="A432" s="15">
        <v>59.100000000000598</v>
      </c>
      <c r="B432" s="45">
        <f t="shared" si="33"/>
        <v>3.84</v>
      </c>
      <c r="C432">
        <v>11</v>
      </c>
      <c r="E432" s="15">
        <f t="shared" si="32"/>
        <v>3.05</v>
      </c>
      <c r="F432" s="15">
        <f t="shared" si="32"/>
        <v>0.87</v>
      </c>
      <c r="G432" s="6">
        <v>91</v>
      </c>
    </row>
    <row r="433" spans="1:7">
      <c r="A433" s="15">
        <v>59.2000000000006</v>
      </c>
      <c r="B433" s="45">
        <f t="shared" si="33"/>
        <v>3.85</v>
      </c>
      <c r="C433">
        <v>12</v>
      </c>
      <c r="E433" s="15">
        <f t="shared" si="32"/>
        <v>3.06</v>
      </c>
      <c r="F433" s="15">
        <f t="shared" si="32"/>
        <v>0.88</v>
      </c>
      <c r="G433" s="6">
        <v>92</v>
      </c>
    </row>
    <row r="434" spans="1:7">
      <c r="A434" s="15">
        <v>59.300000000000601</v>
      </c>
      <c r="B434" s="45">
        <f t="shared" si="33"/>
        <v>3.86</v>
      </c>
      <c r="C434">
        <v>13</v>
      </c>
      <c r="E434" s="15">
        <f t="shared" si="32"/>
        <v>3.07</v>
      </c>
      <c r="F434" s="15">
        <f t="shared" si="32"/>
        <v>0.88</v>
      </c>
      <c r="G434" s="6">
        <v>93</v>
      </c>
    </row>
    <row r="435" spans="1:7">
      <c r="A435" s="15">
        <v>59.400000000000603</v>
      </c>
      <c r="B435" s="45">
        <f t="shared" si="33"/>
        <v>3.88</v>
      </c>
      <c r="C435">
        <v>14</v>
      </c>
      <c r="E435" s="15">
        <f t="shared" si="32"/>
        <v>3.08</v>
      </c>
      <c r="F435" s="15">
        <f t="shared" si="32"/>
        <v>0.88</v>
      </c>
      <c r="G435" s="6">
        <v>94</v>
      </c>
    </row>
    <row r="436" spans="1:7">
      <c r="A436" s="15">
        <v>59.500000000000597</v>
      </c>
      <c r="B436" s="45">
        <f t="shared" si="33"/>
        <v>3.89</v>
      </c>
      <c r="C436">
        <v>15</v>
      </c>
      <c r="E436" s="15">
        <f t="shared" si="32"/>
        <v>3.1</v>
      </c>
      <c r="F436" s="15">
        <f t="shared" si="32"/>
        <v>0.89</v>
      </c>
      <c r="G436" s="6">
        <v>95</v>
      </c>
    </row>
    <row r="437" spans="1:7">
      <c r="A437" s="15">
        <v>59.600000000000598</v>
      </c>
      <c r="B437" s="45">
        <f t="shared" si="33"/>
        <v>3.9</v>
      </c>
      <c r="C437">
        <v>16</v>
      </c>
      <c r="E437" s="15">
        <f t="shared" si="32"/>
        <v>3.11</v>
      </c>
      <c r="F437" s="15">
        <f t="shared" si="32"/>
        <v>0.89</v>
      </c>
      <c r="G437" s="6">
        <v>96</v>
      </c>
    </row>
    <row r="438" spans="1:7">
      <c r="A438" s="15">
        <v>59.7000000000006</v>
      </c>
      <c r="B438" s="45">
        <f t="shared" si="33"/>
        <v>3.91</v>
      </c>
      <c r="C438">
        <v>17</v>
      </c>
      <c r="E438" s="15">
        <f t="shared" si="32"/>
        <v>3.12</v>
      </c>
      <c r="F438" s="15">
        <f t="shared" si="32"/>
        <v>0.9</v>
      </c>
      <c r="G438" s="6">
        <v>97</v>
      </c>
    </row>
    <row r="439" spans="1:7">
      <c r="A439" s="15">
        <v>59.800000000000601</v>
      </c>
      <c r="B439" s="45">
        <f t="shared" si="33"/>
        <v>3.93</v>
      </c>
      <c r="C439">
        <v>18</v>
      </c>
      <c r="E439" s="15">
        <f t="shared" si="32"/>
        <v>3.13</v>
      </c>
      <c r="F439" s="15">
        <f t="shared" si="32"/>
        <v>0.9</v>
      </c>
      <c r="G439" s="6">
        <v>98</v>
      </c>
    </row>
    <row r="440" spans="1:7">
      <c r="A440" s="15">
        <v>59.900000000000603</v>
      </c>
      <c r="B440" s="45">
        <f t="shared" si="33"/>
        <v>3.94</v>
      </c>
      <c r="C440">
        <v>19</v>
      </c>
      <c r="E440" s="15">
        <f t="shared" si="32"/>
        <v>3.14</v>
      </c>
      <c r="F440" s="15">
        <f t="shared" si="32"/>
        <v>0.9</v>
      </c>
      <c r="G440" s="6">
        <v>99</v>
      </c>
    </row>
    <row r="441" spans="1:7">
      <c r="A441" s="15">
        <v>60.000000000000597</v>
      </c>
      <c r="B441" s="45">
        <f t="shared" si="33"/>
        <v>3.95</v>
      </c>
      <c r="C441">
        <v>20</v>
      </c>
      <c r="E441" s="15">
        <f t="shared" si="32"/>
        <v>3.15</v>
      </c>
      <c r="F441" s="15">
        <f t="shared" si="32"/>
        <v>0.91</v>
      </c>
      <c r="G441" s="6">
        <v>100</v>
      </c>
    </row>
    <row r="442" spans="1:7">
      <c r="A442" s="15">
        <v>60.100000000000598</v>
      </c>
      <c r="B442" s="45">
        <f t="shared" si="33"/>
        <v>3.96</v>
      </c>
      <c r="C442">
        <v>21</v>
      </c>
      <c r="E442" s="15">
        <f t="shared" si="32"/>
        <v>3.17</v>
      </c>
      <c r="F442" s="15">
        <f t="shared" si="32"/>
        <v>0.91</v>
      </c>
      <c r="G442" s="6">
        <v>101</v>
      </c>
    </row>
    <row r="443" spans="1:7">
      <c r="A443" s="15">
        <v>60.2000000000006</v>
      </c>
      <c r="B443" s="45">
        <f t="shared" si="33"/>
        <v>3.98</v>
      </c>
      <c r="C443">
        <v>22</v>
      </c>
      <c r="E443" s="15">
        <f t="shared" si="32"/>
        <v>3.18</v>
      </c>
      <c r="F443" s="15">
        <f t="shared" si="32"/>
        <v>0.91</v>
      </c>
      <c r="G443" s="6">
        <v>102</v>
      </c>
    </row>
    <row r="444" spans="1:7">
      <c r="A444" s="15">
        <v>60.300000000000601</v>
      </c>
      <c r="B444" s="45">
        <f t="shared" si="33"/>
        <v>3.99</v>
      </c>
      <c r="C444">
        <v>23</v>
      </c>
      <c r="E444" s="15">
        <f t="shared" si="32"/>
        <v>3.19</v>
      </c>
      <c r="F444" s="15">
        <f t="shared" si="32"/>
        <v>0.92</v>
      </c>
      <c r="G444" s="6">
        <v>103</v>
      </c>
    </row>
    <row r="445" spans="1:7">
      <c r="A445" s="15">
        <v>60.400000000000603</v>
      </c>
      <c r="B445" s="45">
        <f t="shared" si="33"/>
        <v>4</v>
      </c>
      <c r="C445">
        <v>24</v>
      </c>
      <c r="E445" s="15">
        <f t="shared" si="32"/>
        <v>3.2</v>
      </c>
      <c r="F445" s="15">
        <f t="shared" si="32"/>
        <v>0.92</v>
      </c>
      <c r="G445" s="6">
        <v>104</v>
      </c>
    </row>
    <row r="446" spans="1:7">
      <c r="A446" s="15">
        <v>60.500000000000597</v>
      </c>
      <c r="B446" s="45">
        <f t="shared" si="33"/>
        <v>4.01</v>
      </c>
      <c r="C446">
        <v>25</v>
      </c>
      <c r="E446" s="15">
        <f t="shared" si="32"/>
        <v>3.21</v>
      </c>
      <c r="F446" s="15">
        <f t="shared" si="32"/>
        <v>0.92</v>
      </c>
      <c r="G446" s="6">
        <v>105</v>
      </c>
    </row>
    <row r="447" spans="1:7">
      <c r="A447" s="15">
        <v>60.600000000000598</v>
      </c>
      <c r="B447" s="45">
        <f t="shared" si="33"/>
        <v>4.03</v>
      </c>
      <c r="C447">
        <v>26</v>
      </c>
      <c r="E447" s="15">
        <f t="shared" si="32"/>
        <v>3.22</v>
      </c>
      <c r="F447" s="15">
        <f t="shared" si="32"/>
        <v>0.93</v>
      </c>
      <c r="G447" s="6">
        <v>106</v>
      </c>
    </row>
    <row r="448" spans="1:7">
      <c r="A448" s="15">
        <v>60.7000000000006</v>
      </c>
      <c r="B448" s="45">
        <f t="shared" si="33"/>
        <v>4.04</v>
      </c>
      <c r="C448">
        <v>27</v>
      </c>
      <c r="E448" s="15">
        <f t="shared" si="32"/>
        <v>3.23</v>
      </c>
      <c r="F448" s="15">
        <f t="shared" si="32"/>
        <v>0.93</v>
      </c>
      <c r="G448" s="6">
        <v>107</v>
      </c>
    </row>
    <row r="449" spans="1:7">
      <c r="A449" s="15">
        <v>60.800000000000601</v>
      </c>
      <c r="B449" s="45">
        <f t="shared" si="33"/>
        <v>4.05</v>
      </c>
      <c r="C449">
        <v>28</v>
      </c>
      <c r="E449" s="15">
        <f t="shared" si="32"/>
        <v>3.25</v>
      </c>
      <c r="F449" s="15">
        <f t="shared" si="32"/>
        <v>0.93</v>
      </c>
      <c r="G449" s="6">
        <v>108</v>
      </c>
    </row>
    <row r="450" spans="1:7">
      <c r="A450" s="15">
        <v>60.900000000000603</v>
      </c>
      <c r="B450" s="45">
        <f t="shared" si="33"/>
        <v>4.0599999999999996</v>
      </c>
      <c r="C450">
        <v>29</v>
      </c>
      <c r="E450" s="15">
        <f t="shared" si="32"/>
        <v>3.26</v>
      </c>
      <c r="F450" s="15">
        <f t="shared" si="32"/>
        <v>0.94</v>
      </c>
      <c r="G450" s="6">
        <v>109</v>
      </c>
    </row>
    <row r="451" spans="1:7">
      <c r="A451" s="15">
        <v>61.000000000000597</v>
      </c>
      <c r="B451" s="45">
        <f t="shared" si="33"/>
        <v>4.08</v>
      </c>
      <c r="C451">
        <v>30</v>
      </c>
      <c r="E451" s="15">
        <f t="shared" si="32"/>
        <v>3.27</v>
      </c>
      <c r="F451" s="15">
        <f t="shared" si="32"/>
        <v>0.94</v>
      </c>
      <c r="G451" s="6">
        <v>110</v>
      </c>
    </row>
    <row r="452" spans="1:7">
      <c r="A452" s="15">
        <v>61.100000000000598</v>
      </c>
      <c r="B452" s="45">
        <f t="shared" si="33"/>
        <v>4.09</v>
      </c>
      <c r="C452">
        <v>31</v>
      </c>
      <c r="E452" s="15">
        <f t="shared" si="32"/>
        <v>3.28</v>
      </c>
      <c r="F452" s="15">
        <f t="shared" si="32"/>
        <v>0.95</v>
      </c>
      <c r="G452" s="6">
        <v>111</v>
      </c>
    </row>
    <row r="453" spans="1:7">
      <c r="A453" s="15">
        <v>61.2000000000006</v>
      </c>
      <c r="B453" s="45">
        <f t="shared" si="33"/>
        <v>4.0999999999999996</v>
      </c>
      <c r="C453">
        <v>32</v>
      </c>
      <c r="E453" s="15">
        <f t="shared" si="32"/>
        <v>3.29</v>
      </c>
      <c r="F453" s="15">
        <f t="shared" si="32"/>
        <v>0.95</v>
      </c>
      <c r="G453" s="6">
        <v>112</v>
      </c>
    </row>
    <row r="454" spans="1:7">
      <c r="A454" s="15">
        <v>61.300000000000601</v>
      </c>
      <c r="B454" s="45">
        <f t="shared" si="33"/>
        <v>4.1100000000000003</v>
      </c>
      <c r="C454">
        <v>33</v>
      </c>
      <c r="E454" s="15">
        <f t="shared" si="32"/>
        <v>3.3</v>
      </c>
      <c r="F454" s="15">
        <f t="shared" si="32"/>
        <v>0.95</v>
      </c>
      <c r="G454" s="6">
        <v>113</v>
      </c>
    </row>
    <row r="455" spans="1:7">
      <c r="A455" s="15">
        <v>61.400000000000603</v>
      </c>
      <c r="B455" s="45">
        <f t="shared" si="33"/>
        <v>4.13</v>
      </c>
      <c r="C455">
        <v>34</v>
      </c>
      <c r="E455" s="15">
        <f t="shared" si="32"/>
        <v>3.32</v>
      </c>
      <c r="F455" s="15">
        <f t="shared" si="32"/>
        <v>0.96</v>
      </c>
      <c r="G455" s="6">
        <v>114</v>
      </c>
    </row>
    <row r="456" spans="1:7">
      <c r="A456" s="15">
        <v>61.500000000000597</v>
      </c>
      <c r="B456" s="45">
        <f t="shared" si="33"/>
        <v>4.1399999999999997</v>
      </c>
      <c r="C456">
        <v>35</v>
      </c>
      <c r="E456" s="15">
        <f t="shared" si="32"/>
        <v>3.33</v>
      </c>
      <c r="F456" s="15">
        <f t="shared" si="32"/>
        <v>0.96</v>
      </c>
      <c r="G456" s="6">
        <v>115</v>
      </c>
    </row>
    <row r="457" spans="1:7">
      <c r="A457" s="15">
        <v>61.600000000000598</v>
      </c>
      <c r="B457" s="45">
        <f t="shared" si="33"/>
        <v>4.1500000000000004</v>
      </c>
      <c r="C457">
        <v>36</v>
      </c>
      <c r="E457" s="15">
        <f t="shared" si="32"/>
        <v>3.34</v>
      </c>
      <c r="F457" s="15">
        <f t="shared" si="32"/>
        <v>0.96</v>
      </c>
      <c r="G457" s="6">
        <v>116</v>
      </c>
    </row>
    <row r="458" spans="1:7">
      <c r="A458" s="15">
        <v>61.7000000000006</v>
      </c>
      <c r="B458" s="45">
        <f t="shared" si="33"/>
        <v>4.16</v>
      </c>
      <c r="C458">
        <v>37</v>
      </c>
      <c r="E458" s="15">
        <f t="shared" si="32"/>
        <v>3.35</v>
      </c>
      <c r="F458" s="15">
        <f t="shared" si="32"/>
        <v>0.97</v>
      </c>
      <c r="G458" s="6">
        <v>117</v>
      </c>
    </row>
    <row r="459" spans="1:7">
      <c r="A459" s="15">
        <v>61.800000000000601</v>
      </c>
      <c r="B459" s="45">
        <f t="shared" si="33"/>
        <v>4.18</v>
      </c>
      <c r="C459">
        <v>38</v>
      </c>
      <c r="E459" s="15">
        <f t="shared" si="32"/>
        <v>3.36</v>
      </c>
      <c r="F459" s="15">
        <f t="shared" si="32"/>
        <v>0.97</v>
      </c>
      <c r="G459" s="6">
        <v>118</v>
      </c>
    </row>
    <row r="460" spans="1:7">
      <c r="A460" s="15">
        <v>61.900000000000603</v>
      </c>
      <c r="B460" s="45">
        <f t="shared" si="33"/>
        <v>4.1900000000000004</v>
      </c>
      <c r="C460">
        <v>39</v>
      </c>
      <c r="E460" s="15">
        <f t="shared" si="32"/>
        <v>3.37</v>
      </c>
      <c r="F460" s="15">
        <f t="shared" si="32"/>
        <v>0.97</v>
      </c>
      <c r="G460" s="6">
        <v>119</v>
      </c>
    </row>
    <row r="461" spans="1:7">
      <c r="A461" s="17">
        <v>62.000000000000597</v>
      </c>
      <c r="B461" s="46">
        <f>'4_Anzeichnungsprotokoll'!E37</f>
        <v>4.2</v>
      </c>
      <c r="C461" s="18">
        <v>0</v>
      </c>
      <c r="E461" s="15">
        <f t="shared" si="32"/>
        <v>3.39</v>
      </c>
      <c r="F461" s="15">
        <f t="shared" si="32"/>
        <v>0.98</v>
      </c>
      <c r="G461" s="6">
        <v>120</v>
      </c>
    </row>
    <row r="462" spans="1:7">
      <c r="A462" s="15">
        <v>62.100000000000598</v>
      </c>
      <c r="B462" s="45">
        <f>ROUND(((B$501-B$461)/40*C462+B$461),2)</f>
        <v>4.22</v>
      </c>
      <c r="C462">
        <v>1</v>
      </c>
      <c r="E462" s="15">
        <f t="shared" si="32"/>
        <v>3.4</v>
      </c>
      <c r="F462" s="15">
        <f t="shared" si="32"/>
        <v>0.98</v>
      </c>
      <c r="G462" s="6">
        <v>121</v>
      </c>
    </row>
    <row r="463" spans="1:7">
      <c r="A463" s="15">
        <v>62.2000000000006</v>
      </c>
      <c r="B463" s="45">
        <f t="shared" ref="B463:B500" si="34">ROUND(((B$501-B$461)/40*C463+B$461),2)</f>
        <v>4.2300000000000004</v>
      </c>
      <c r="C463">
        <v>2</v>
      </c>
      <c r="E463" s="15">
        <f t="shared" si="32"/>
        <v>3.41</v>
      </c>
      <c r="F463" s="15">
        <f t="shared" si="32"/>
        <v>0.98</v>
      </c>
      <c r="G463" s="6">
        <v>122</v>
      </c>
    </row>
    <row r="464" spans="1:7">
      <c r="A464" s="15">
        <v>62.300000000000601</v>
      </c>
      <c r="B464" s="45">
        <f t="shared" si="34"/>
        <v>4.25</v>
      </c>
      <c r="C464">
        <v>3</v>
      </c>
      <c r="E464" s="15">
        <f t="shared" si="32"/>
        <v>3.42</v>
      </c>
      <c r="F464" s="15">
        <f t="shared" si="32"/>
        <v>0.99</v>
      </c>
      <c r="G464" s="6">
        <v>123</v>
      </c>
    </row>
    <row r="465" spans="1:7">
      <c r="A465" s="15">
        <v>62.400000000000603</v>
      </c>
      <c r="B465" s="45">
        <f t="shared" si="34"/>
        <v>4.26</v>
      </c>
      <c r="C465">
        <v>4</v>
      </c>
      <c r="E465" s="15">
        <f t="shared" si="32"/>
        <v>3.43</v>
      </c>
      <c r="F465" s="15">
        <f t="shared" si="32"/>
        <v>0.99</v>
      </c>
      <c r="G465" s="6">
        <v>124</v>
      </c>
    </row>
    <row r="466" spans="1:7">
      <c r="A466" s="15">
        <v>62.500000000000597</v>
      </c>
      <c r="B466" s="45">
        <f t="shared" si="34"/>
        <v>4.28</v>
      </c>
      <c r="C466">
        <v>5</v>
      </c>
      <c r="E466" s="15">
        <f t="shared" si="32"/>
        <v>3.44</v>
      </c>
      <c r="F466" s="15">
        <f t="shared" si="32"/>
        <v>1</v>
      </c>
      <c r="G466" s="6">
        <v>125</v>
      </c>
    </row>
    <row r="467" spans="1:7">
      <c r="A467" s="15">
        <v>62.600000000000598</v>
      </c>
      <c r="B467" s="45">
        <f t="shared" si="34"/>
        <v>4.29</v>
      </c>
      <c r="C467">
        <v>6</v>
      </c>
      <c r="E467" s="15">
        <f t="shared" si="32"/>
        <v>3.45</v>
      </c>
      <c r="F467" s="15">
        <f t="shared" si="32"/>
        <v>1</v>
      </c>
      <c r="G467" s="6">
        <v>126</v>
      </c>
    </row>
    <row r="468" spans="1:7">
      <c r="A468" s="15">
        <v>62.7000000000006</v>
      </c>
      <c r="B468" s="45">
        <f t="shared" si="34"/>
        <v>4.3099999999999996</v>
      </c>
      <c r="C468">
        <v>7</v>
      </c>
      <c r="E468" s="15">
        <f t="shared" si="32"/>
        <v>3.47</v>
      </c>
      <c r="F468" s="15">
        <f t="shared" si="32"/>
        <v>1</v>
      </c>
      <c r="G468" s="6">
        <v>127</v>
      </c>
    </row>
    <row r="469" spans="1:7">
      <c r="A469" s="15">
        <v>62.800000000000601</v>
      </c>
      <c r="B469" s="45">
        <f t="shared" si="34"/>
        <v>4.32</v>
      </c>
      <c r="C469">
        <v>8</v>
      </c>
      <c r="E469" s="15">
        <f t="shared" si="32"/>
        <v>3.48</v>
      </c>
      <c r="F469" s="15">
        <f t="shared" si="32"/>
        <v>1.01</v>
      </c>
      <c r="G469" s="6">
        <v>128</v>
      </c>
    </row>
    <row r="470" spans="1:7">
      <c r="A470" s="15">
        <v>62.900000000000603</v>
      </c>
      <c r="B470" s="45">
        <f t="shared" si="34"/>
        <v>4.34</v>
      </c>
      <c r="C470">
        <v>9</v>
      </c>
      <c r="E470" s="15">
        <f t="shared" ref="E470:F533" si="35">ROUND((E$821-E$341)/480*$G470+E$341,2)</f>
        <v>3.49</v>
      </c>
      <c r="F470" s="15">
        <f t="shared" si="35"/>
        <v>1.01</v>
      </c>
      <c r="G470" s="6">
        <v>129</v>
      </c>
    </row>
    <row r="471" spans="1:7">
      <c r="A471" s="15">
        <v>63.000000000000597</v>
      </c>
      <c r="B471" s="45">
        <f t="shared" si="34"/>
        <v>4.3499999999999996</v>
      </c>
      <c r="C471">
        <v>10</v>
      </c>
      <c r="E471" s="15">
        <f t="shared" si="35"/>
        <v>3.5</v>
      </c>
      <c r="F471" s="15">
        <f t="shared" si="35"/>
        <v>1.01</v>
      </c>
      <c r="G471" s="6">
        <v>130</v>
      </c>
    </row>
    <row r="472" spans="1:7">
      <c r="A472" s="15">
        <v>63.100000000000598</v>
      </c>
      <c r="B472" s="45">
        <f t="shared" si="34"/>
        <v>4.37</v>
      </c>
      <c r="C472">
        <v>11</v>
      </c>
      <c r="E472" s="15">
        <f t="shared" si="35"/>
        <v>3.51</v>
      </c>
      <c r="F472" s="15">
        <f t="shared" si="35"/>
        <v>1.02</v>
      </c>
      <c r="G472" s="6">
        <v>131</v>
      </c>
    </row>
    <row r="473" spans="1:7">
      <c r="A473" s="15">
        <v>63.2000000000006</v>
      </c>
      <c r="B473" s="45">
        <f t="shared" si="34"/>
        <v>4.38</v>
      </c>
      <c r="C473">
        <v>12</v>
      </c>
      <c r="E473" s="15">
        <f t="shared" si="35"/>
        <v>3.52</v>
      </c>
      <c r="F473" s="15">
        <f t="shared" si="35"/>
        <v>1.02</v>
      </c>
      <c r="G473" s="6">
        <v>132</v>
      </c>
    </row>
    <row r="474" spans="1:7">
      <c r="A474" s="15">
        <v>63.300000000000601</v>
      </c>
      <c r="B474" s="45">
        <f t="shared" si="34"/>
        <v>4.4000000000000004</v>
      </c>
      <c r="C474">
        <v>13</v>
      </c>
      <c r="E474" s="15">
        <f t="shared" si="35"/>
        <v>3.54</v>
      </c>
      <c r="F474" s="15">
        <f t="shared" si="35"/>
        <v>1.02</v>
      </c>
      <c r="G474" s="6">
        <v>133</v>
      </c>
    </row>
    <row r="475" spans="1:7">
      <c r="A475" s="15">
        <v>63.400000000000603</v>
      </c>
      <c r="B475" s="45">
        <f t="shared" si="34"/>
        <v>4.41</v>
      </c>
      <c r="C475">
        <v>14</v>
      </c>
      <c r="E475" s="15">
        <f t="shared" si="35"/>
        <v>3.55</v>
      </c>
      <c r="F475" s="15">
        <f t="shared" si="35"/>
        <v>1.03</v>
      </c>
      <c r="G475" s="6">
        <v>134</v>
      </c>
    </row>
    <row r="476" spans="1:7">
      <c r="A476" s="15">
        <v>63.500000000000597</v>
      </c>
      <c r="B476" s="45">
        <f t="shared" si="34"/>
        <v>4.43</v>
      </c>
      <c r="C476">
        <v>15</v>
      </c>
      <c r="E476" s="15">
        <f t="shared" si="35"/>
        <v>3.56</v>
      </c>
      <c r="F476" s="15">
        <f t="shared" si="35"/>
        <v>1.03</v>
      </c>
      <c r="G476" s="6">
        <v>135</v>
      </c>
    </row>
    <row r="477" spans="1:7">
      <c r="A477" s="15">
        <v>63.600000000000598</v>
      </c>
      <c r="B477" s="45">
        <f t="shared" si="34"/>
        <v>4.4400000000000004</v>
      </c>
      <c r="C477">
        <v>16</v>
      </c>
      <c r="E477" s="15">
        <f t="shared" si="35"/>
        <v>3.57</v>
      </c>
      <c r="F477" s="15">
        <f t="shared" si="35"/>
        <v>1.03</v>
      </c>
      <c r="G477" s="6">
        <v>136</v>
      </c>
    </row>
    <row r="478" spans="1:7">
      <c r="A478" s="15">
        <v>63.7000000000006</v>
      </c>
      <c r="B478" s="45">
        <f t="shared" si="34"/>
        <v>4.46</v>
      </c>
      <c r="C478">
        <v>17</v>
      </c>
      <c r="E478" s="15">
        <f t="shared" si="35"/>
        <v>3.58</v>
      </c>
      <c r="F478" s="15">
        <f t="shared" si="35"/>
        <v>1.04</v>
      </c>
      <c r="G478" s="6">
        <v>137</v>
      </c>
    </row>
    <row r="479" spans="1:7">
      <c r="A479" s="15">
        <v>63.800000000000601</v>
      </c>
      <c r="B479" s="45">
        <f t="shared" si="34"/>
        <v>4.47</v>
      </c>
      <c r="C479">
        <v>18</v>
      </c>
      <c r="E479" s="15">
        <f t="shared" si="35"/>
        <v>3.59</v>
      </c>
      <c r="F479" s="15">
        <f t="shared" si="35"/>
        <v>1.04</v>
      </c>
      <c r="G479" s="6">
        <v>138</v>
      </c>
    </row>
    <row r="480" spans="1:7">
      <c r="A480" s="15">
        <v>63.900000000000603</v>
      </c>
      <c r="B480" s="45">
        <f t="shared" si="34"/>
        <v>4.49</v>
      </c>
      <c r="C480">
        <v>19</v>
      </c>
      <c r="E480" s="15">
        <f t="shared" si="35"/>
        <v>3.6</v>
      </c>
      <c r="F480" s="15">
        <f t="shared" si="35"/>
        <v>1.05</v>
      </c>
      <c r="G480" s="6">
        <v>139</v>
      </c>
    </row>
    <row r="481" spans="1:7">
      <c r="A481" s="15">
        <v>64.000000000000597</v>
      </c>
      <c r="B481" s="45">
        <f t="shared" si="34"/>
        <v>4.5</v>
      </c>
      <c r="C481">
        <v>20</v>
      </c>
      <c r="E481" s="15">
        <f t="shared" si="35"/>
        <v>3.62</v>
      </c>
      <c r="F481" s="15">
        <f t="shared" si="35"/>
        <v>1.05</v>
      </c>
      <c r="G481" s="6">
        <v>140</v>
      </c>
    </row>
    <row r="482" spans="1:7">
      <c r="A482" s="15">
        <v>64.100000000000605</v>
      </c>
      <c r="B482" s="45">
        <f t="shared" si="34"/>
        <v>4.5199999999999996</v>
      </c>
      <c r="C482">
        <v>21</v>
      </c>
      <c r="E482" s="15">
        <f t="shared" si="35"/>
        <v>3.63</v>
      </c>
      <c r="F482" s="15">
        <f t="shared" si="35"/>
        <v>1.05</v>
      </c>
      <c r="G482" s="6">
        <v>141</v>
      </c>
    </row>
    <row r="483" spans="1:7">
      <c r="A483" s="15">
        <v>64.2000000000006</v>
      </c>
      <c r="B483" s="45">
        <f t="shared" si="34"/>
        <v>4.53</v>
      </c>
      <c r="C483">
        <v>22</v>
      </c>
      <c r="E483" s="15">
        <f t="shared" si="35"/>
        <v>3.64</v>
      </c>
      <c r="F483" s="15">
        <f t="shared" si="35"/>
        <v>1.06</v>
      </c>
      <c r="G483" s="6">
        <v>142</v>
      </c>
    </row>
    <row r="484" spans="1:7">
      <c r="A484" s="15">
        <v>64.300000000000594</v>
      </c>
      <c r="B484" s="45">
        <f t="shared" si="34"/>
        <v>4.55</v>
      </c>
      <c r="C484">
        <v>23</v>
      </c>
      <c r="E484" s="15">
        <f t="shared" si="35"/>
        <v>3.65</v>
      </c>
      <c r="F484" s="15">
        <f t="shared" si="35"/>
        <v>1.06</v>
      </c>
      <c r="G484" s="6">
        <v>143</v>
      </c>
    </row>
    <row r="485" spans="1:7">
      <c r="A485" s="15">
        <v>64.400000000000603</v>
      </c>
      <c r="B485" s="45">
        <f t="shared" si="34"/>
        <v>4.5599999999999996</v>
      </c>
      <c r="C485">
        <v>24</v>
      </c>
      <c r="E485" s="15">
        <f t="shared" si="35"/>
        <v>3.66</v>
      </c>
      <c r="F485" s="15">
        <f t="shared" si="35"/>
        <v>1.06</v>
      </c>
      <c r="G485" s="6">
        <v>144</v>
      </c>
    </row>
    <row r="486" spans="1:7">
      <c r="A486" s="15">
        <v>64.500000000000696</v>
      </c>
      <c r="B486" s="45">
        <f t="shared" si="34"/>
        <v>4.58</v>
      </c>
      <c r="C486">
        <v>25</v>
      </c>
      <c r="E486" s="15">
        <f t="shared" si="35"/>
        <v>3.67</v>
      </c>
      <c r="F486" s="15">
        <f t="shared" si="35"/>
        <v>1.07</v>
      </c>
      <c r="G486" s="6">
        <v>145</v>
      </c>
    </row>
    <row r="487" spans="1:7">
      <c r="A487" s="15">
        <v>64.600000000000705</v>
      </c>
      <c r="B487" s="45">
        <f t="shared" si="34"/>
        <v>4.59</v>
      </c>
      <c r="C487">
        <v>26</v>
      </c>
      <c r="E487" s="15">
        <f t="shared" si="35"/>
        <v>3.69</v>
      </c>
      <c r="F487" s="15">
        <f t="shared" si="35"/>
        <v>1.07</v>
      </c>
      <c r="G487" s="6">
        <v>146</v>
      </c>
    </row>
    <row r="488" spans="1:7">
      <c r="A488" s="15">
        <v>64.700000000000699</v>
      </c>
      <c r="B488" s="45">
        <f t="shared" si="34"/>
        <v>4.6100000000000003</v>
      </c>
      <c r="C488">
        <v>27</v>
      </c>
      <c r="E488" s="15">
        <f t="shared" si="35"/>
        <v>3.7</v>
      </c>
      <c r="F488" s="15">
        <f t="shared" si="35"/>
        <v>1.07</v>
      </c>
      <c r="G488" s="6">
        <v>147</v>
      </c>
    </row>
    <row r="489" spans="1:7">
      <c r="A489" s="15">
        <v>64.800000000000693</v>
      </c>
      <c r="B489" s="45">
        <f t="shared" si="34"/>
        <v>4.62</v>
      </c>
      <c r="C489">
        <v>28</v>
      </c>
      <c r="E489" s="15">
        <f t="shared" si="35"/>
        <v>3.71</v>
      </c>
      <c r="F489" s="15">
        <f t="shared" si="35"/>
        <v>1.08</v>
      </c>
      <c r="G489" s="6">
        <v>148</v>
      </c>
    </row>
    <row r="490" spans="1:7">
      <c r="A490" s="15">
        <v>64.900000000000702</v>
      </c>
      <c r="B490" s="45">
        <f t="shared" si="34"/>
        <v>4.6399999999999997</v>
      </c>
      <c r="C490">
        <v>29</v>
      </c>
      <c r="E490" s="15">
        <f t="shared" si="35"/>
        <v>3.72</v>
      </c>
      <c r="F490" s="15">
        <f t="shared" si="35"/>
        <v>1.08</v>
      </c>
      <c r="G490" s="6">
        <v>149</v>
      </c>
    </row>
    <row r="491" spans="1:7">
      <c r="A491" s="15">
        <v>65.000000000000696</v>
      </c>
      <c r="B491" s="45">
        <f t="shared" si="34"/>
        <v>4.6500000000000004</v>
      </c>
      <c r="C491">
        <v>30</v>
      </c>
      <c r="E491" s="15">
        <f t="shared" si="35"/>
        <v>3.73</v>
      </c>
      <c r="F491" s="15">
        <f t="shared" si="35"/>
        <v>1.08</v>
      </c>
      <c r="G491" s="6">
        <v>150</v>
      </c>
    </row>
    <row r="492" spans="1:7">
      <c r="A492" s="15">
        <v>65.100000000000705</v>
      </c>
      <c r="B492" s="45">
        <f t="shared" si="34"/>
        <v>4.67</v>
      </c>
      <c r="C492">
        <v>31</v>
      </c>
      <c r="E492" s="15">
        <f t="shared" si="35"/>
        <v>3.74</v>
      </c>
      <c r="F492" s="15">
        <f t="shared" si="35"/>
        <v>1.0900000000000001</v>
      </c>
      <c r="G492" s="6">
        <v>151</v>
      </c>
    </row>
    <row r="493" spans="1:7">
      <c r="A493" s="15">
        <v>65.200000000000699</v>
      </c>
      <c r="B493" s="45">
        <f t="shared" si="34"/>
        <v>4.68</v>
      </c>
      <c r="C493">
        <v>32</v>
      </c>
      <c r="E493" s="15">
        <f t="shared" si="35"/>
        <v>3.75</v>
      </c>
      <c r="F493" s="15">
        <f t="shared" si="35"/>
        <v>1.0900000000000001</v>
      </c>
      <c r="G493" s="6">
        <v>152</v>
      </c>
    </row>
    <row r="494" spans="1:7">
      <c r="A494" s="15">
        <v>65.300000000000693</v>
      </c>
      <c r="B494" s="45">
        <f t="shared" si="34"/>
        <v>4.7</v>
      </c>
      <c r="C494">
        <v>33</v>
      </c>
      <c r="E494" s="15">
        <f t="shared" si="35"/>
        <v>3.77</v>
      </c>
      <c r="F494" s="15">
        <f t="shared" si="35"/>
        <v>1.1000000000000001</v>
      </c>
      <c r="G494" s="6">
        <v>153</v>
      </c>
    </row>
    <row r="495" spans="1:7">
      <c r="A495" s="15">
        <v>65.400000000000702</v>
      </c>
      <c r="B495" s="45">
        <f t="shared" si="34"/>
        <v>4.71</v>
      </c>
      <c r="C495">
        <v>34</v>
      </c>
      <c r="E495" s="15">
        <f t="shared" si="35"/>
        <v>3.78</v>
      </c>
      <c r="F495" s="15">
        <f t="shared" si="35"/>
        <v>1.1000000000000001</v>
      </c>
      <c r="G495" s="6">
        <v>154</v>
      </c>
    </row>
    <row r="496" spans="1:7">
      <c r="A496" s="15">
        <v>65.500000000000696</v>
      </c>
      <c r="B496" s="45">
        <f t="shared" si="34"/>
        <v>4.7300000000000004</v>
      </c>
      <c r="C496">
        <v>35</v>
      </c>
      <c r="E496" s="15">
        <f t="shared" si="35"/>
        <v>3.79</v>
      </c>
      <c r="F496" s="15">
        <f t="shared" si="35"/>
        <v>1.1000000000000001</v>
      </c>
      <c r="G496" s="6">
        <v>155</v>
      </c>
    </row>
    <row r="497" spans="1:7">
      <c r="A497" s="15">
        <v>65.600000000000705</v>
      </c>
      <c r="B497" s="45">
        <f t="shared" si="34"/>
        <v>4.74</v>
      </c>
      <c r="C497">
        <v>36</v>
      </c>
      <c r="E497" s="15">
        <f t="shared" si="35"/>
        <v>3.8</v>
      </c>
      <c r="F497" s="15">
        <f t="shared" si="35"/>
        <v>1.1100000000000001</v>
      </c>
      <c r="G497" s="6">
        <v>156</v>
      </c>
    </row>
    <row r="498" spans="1:7">
      <c r="A498" s="15">
        <v>65.700000000000699</v>
      </c>
      <c r="B498" s="45">
        <f t="shared" si="34"/>
        <v>4.76</v>
      </c>
      <c r="C498">
        <v>37</v>
      </c>
      <c r="E498" s="15">
        <f t="shared" si="35"/>
        <v>3.81</v>
      </c>
      <c r="F498" s="15">
        <f t="shared" si="35"/>
        <v>1.1100000000000001</v>
      </c>
      <c r="G498" s="6">
        <v>157</v>
      </c>
    </row>
    <row r="499" spans="1:7">
      <c r="A499" s="15">
        <v>65.800000000000693</v>
      </c>
      <c r="B499" s="45">
        <f t="shared" si="34"/>
        <v>4.7699999999999996</v>
      </c>
      <c r="C499">
        <v>38</v>
      </c>
      <c r="E499" s="15">
        <f t="shared" si="35"/>
        <v>3.82</v>
      </c>
      <c r="F499" s="15">
        <f t="shared" si="35"/>
        <v>1.1100000000000001</v>
      </c>
      <c r="G499" s="6">
        <v>158</v>
      </c>
    </row>
    <row r="500" spans="1:7">
      <c r="A500" s="15">
        <v>65.900000000000702</v>
      </c>
      <c r="B500" s="45">
        <f t="shared" si="34"/>
        <v>4.79</v>
      </c>
      <c r="C500">
        <v>39</v>
      </c>
      <c r="E500" s="15">
        <f t="shared" si="35"/>
        <v>3.84</v>
      </c>
      <c r="F500" s="15">
        <f t="shared" si="35"/>
        <v>1.1200000000000001</v>
      </c>
      <c r="G500" s="6">
        <v>159</v>
      </c>
    </row>
    <row r="501" spans="1:7">
      <c r="A501" s="17">
        <v>66.000000000000696</v>
      </c>
      <c r="B501" s="46">
        <f>'4_Anzeichnungsprotokoll'!E38</f>
        <v>4.8</v>
      </c>
      <c r="C501" s="18">
        <v>0</v>
      </c>
      <c r="E501" s="15">
        <f t="shared" si="35"/>
        <v>3.85</v>
      </c>
      <c r="F501" s="15">
        <f t="shared" si="35"/>
        <v>1.1200000000000001</v>
      </c>
      <c r="G501" s="6">
        <v>160</v>
      </c>
    </row>
    <row r="502" spans="1:7">
      <c r="A502" s="15">
        <v>66.100000000000705</v>
      </c>
      <c r="B502" s="45">
        <f>ROUND(((B$541-B$501)/40*C502+B$501),2)</f>
        <v>4.82</v>
      </c>
      <c r="C502">
        <v>1</v>
      </c>
      <c r="E502" s="15">
        <f t="shared" si="35"/>
        <v>3.86</v>
      </c>
      <c r="F502" s="15">
        <f t="shared" si="35"/>
        <v>1.1200000000000001</v>
      </c>
      <c r="G502" s="6">
        <v>161</v>
      </c>
    </row>
    <row r="503" spans="1:7">
      <c r="A503" s="15">
        <v>66.200000000000699</v>
      </c>
      <c r="B503" s="45">
        <f t="shared" ref="B503:B540" si="36">ROUND(((B$541-B$501)/40*C503+B$501),2)</f>
        <v>4.83</v>
      </c>
      <c r="C503">
        <v>2</v>
      </c>
      <c r="E503" s="15">
        <f t="shared" si="35"/>
        <v>3.87</v>
      </c>
      <c r="F503" s="15">
        <f t="shared" si="35"/>
        <v>1.1299999999999999</v>
      </c>
      <c r="G503" s="6">
        <v>162</v>
      </c>
    </row>
    <row r="504" spans="1:7">
      <c r="A504" s="15">
        <v>66.300000000000693</v>
      </c>
      <c r="B504" s="45">
        <f t="shared" si="36"/>
        <v>4.8499999999999996</v>
      </c>
      <c r="C504">
        <v>3</v>
      </c>
      <c r="E504" s="15">
        <f t="shared" si="35"/>
        <v>3.88</v>
      </c>
      <c r="F504" s="15">
        <f t="shared" si="35"/>
        <v>1.1299999999999999</v>
      </c>
      <c r="G504" s="6">
        <v>163</v>
      </c>
    </row>
    <row r="505" spans="1:7">
      <c r="A505" s="15">
        <v>66.400000000000702</v>
      </c>
      <c r="B505" s="45">
        <f t="shared" si="36"/>
        <v>4.8600000000000003</v>
      </c>
      <c r="C505">
        <v>4</v>
      </c>
      <c r="E505" s="15">
        <f t="shared" si="35"/>
        <v>3.89</v>
      </c>
      <c r="F505" s="15">
        <f t="shared" si="35"/>
        <v>1.1299999999999999</v>
      </c>
      <c r="G505" s="6">
        <v>164</v>
      </c>
    </row>
    <row r="506" spans="1:7">
      <c r="A506" s="15">
        <v>66.500000000000696</v>
      </c>
      <c r="B506" s="45">
        <f t="shared" si="36"/>
        <v>4.88</v>
      </c>
      <c r="C506">
        <v>5</v>
      </c>
      <c r="E506" s="15">
        <f t="shared" si="35"/>
        <v>3.9</v>
      </c>
      <c r="F506" s="15">
        <f t="shared" si="35"/>
        <v>1.1399999999999999</v>
      </c>
      <c r="G506" s="6">
        <v>165</v>
      </c>
    </row>
    <row r="507" spans="1:7">
      <c r="A507" s="15">
        <v>66.600000000000705</v>
      </c>
      <c r="B507" s="45">
        <f t="shared" si="36"/>
        <v>4.8899999999999997</v>
      </c>
      <c r="C507">
        <v>6</v>
      </c>
      <c r="E507" s="15">
        <f t="shared" si="35"/>
        <v>3.92</v>
      </c>
      <c r="F507" s="15">
        <f t="shared" si="35"/>
        <v>1.1399999999999999</v>
      </c>
      <c r="G507" s="6">
        <v>166</v>
      </c>
    </row>
    <row r="508" spans="1:7">
      <c r="A508" s="15">
        <v>66.700000000000699</v>
      </c>
      <c r="B508" s="45">
        <f t="shared" si="36"/>
        <v>4.91</v>
      </c>
      <c r="C508">
        <v>7</v>
      </c>
      <c r="E508" s="15">
        <f t="shared" si="35"/>
        <v>3.93</v>
      </c>
      <c r="F508" s="15">
        <f t="shared" si="35"/>
        <v>1.1399999999999999</v>
      </c>
      <c r="G508" s="6">
        <v>167</v>
      </c>
    </row>
    <row r="509" spans="1:7">
      <c r="A509" s="15">
        <v>66.800000000000693</v>
      </c>
      <c r="B509" s="45">
        <f t="shared" si="36"/>
        <v>4.92</v>
      </c>
      <c r="C509">
        <v>8</v>
      </c>
      <c r="E509" s="15">
        <f t="shared" si="35"/>
        <v>3.94</v>
      </c>
      <c r="F509" s="15">
        <f t="shared" si="35"/>
        <v>1.1499999999999999</v>
      </c>
      <c r="G509" s="6">
        <v>168</v>
      </c>
    </row>
    <row r="510" spans="1:7">
      <c r="A510" s="15">
        <v>66.900000000000702</v>
      </c>
      <c r="B510" s="45">
        <f t="shared" si="36"/>
        <v>4.9400000000000004</v>
      </c>
      <c r="C510">
        <v>9</v>
      </c>
      <c r="E510" s="15">
        <f t="shared" si="35"/>
        <v>3.95</v>
      </c>
      <c r="F510" s="15">
        <f t="shared" si="35"/>
        <v>1.1499999999999999</v>
      </c>
      <c r="G510" s="6">
        <v>169</v>
      </c>
    </row>
    <row r="511" spans="1:7">
      <c r="A511" s="15">
        <v>67.000000000000696</v>
      </c>
      <c r="B511" s="45">
        <f t="shared" si="36"/>
        <v>4.95</v>
      </c>
      <c r="C511">
        <v>10</v>
      </c>
      <c r="E511" s="15">
        <f t="shared" si="35"/>
        <v>3.96</v>
      </c>
      <c r="F511" s="15">
        <f t="shared" si="35"/>
        <v>1.1599999999999999</v>
      </c>
      <c r="G511" s="6">
        <v>170</v>
      </c>
    </row>
    <row r="512" spans="1:7">
      <c r="A512" s="15">
        <v>67.100000000000705</v>
      </c>
      <c r="B512" s="45">
        <f t="shared" si="36"/>
        <v>4.97</v>
      </c>
      <c r="C512">
        <v>11</v>
      </c>
      <c r="E512" s="15">
        <f t="shared" si="35"/>
        <v>3.97</v>
      </c>
      <c r="F512" s="15">
        <f t="shared" si="35"/>
        <v>1.1599999999999999</v>
      </c>
      <c r="G512" s="6">
        <v>171</v>
      </c>
    </row>
    <row r="513" spans="1:7">
      <c r="A513" s="15">
        <v>67.200000000000699</v>
      </c>
      <c r="B513" s="45">
        <f t="shared" si="36"/>
        <v>4.9800000000000004</v>
      </c>
      <c r="C513">
        <v>12</v>
      </c>
      <c r="E513" s="15">
        <f t="shared" si="35"/>
        <v>3.99</v>
      </c>
      <c r="F513" s="15">
        <f t="shared" si="35"/>
        <v>1.1599999999999999</v>
      </c>
      <c r="G513" s="6">
        <v>172</v>
      </c>
    </row>
    <row r="514" spans="1:7">
      <c r="A514" s="15">
        <v>67.300000000000693</v>
      </c>
      <c r="B514" s="45">
        <f t="shared" si="36"/>
        <v>5</v>
      </c>
      <c r="C514">
        <v>13</v>
      </c>
      <c r="E514" s="15">
        <f t="shared" si="35"/>
        <v>4</v>
      </c>
      <c r="F514" s="15">
        <f t="shared" si="35"/>
        <v>1.17</v>
      </c>
      <c r="G514" s="6">
        <v>173</v>
      </c>
    </row>
    <row r="515" spans="1:7">
      <c r="A515" s="15">
        <v>67.400000000000702</v>
      </c>
      <c r="B515" s="45">
        <f t="shared" si="36"/>
        <v>5.01</v>
      </c>
      <c r="C515">
        <v>14</v>
      </c>
      <c r="E515" s="15">
        <f t="shared" si="35"/>
        <v>4.01</v>
      </c>
      <c r="F515" s="15">
        <f t="shared" si="35"/>
        <v>1.17</v>
      </c>
      <c r="G515" s="6">
        <v>174</v>
      </c>
    </row>
    <row r="516" spans="1:7">
      <c r="A516" s="15">
        <v>67.500000000000696</v>
      </c>
      <c r="B516" s="45">
        <f t="shared" si="36"/>
        <v>5.03</v>
      </c>
      <c r="C516">
        <v>15</v>
      </c>
      <c r="E516" s="15">
        <f t="shared" si="35"/>
        <v>4.0199999999999996</v>
      </c>
      <c r="F516" s="15">
        <f t="shared" si="35"/>
        <v>1.17</v>
      </c>
      <c r="G516" s="6">
        <v>175</v>
      </c>
    </row>
    <row r="517" spans="1:7">
      <c r="A517" s="15">
        <v>67.600000000000705</v>
      </c>
      <c r="B517" s="45">
        <f t="shared" si="36"/>
        <v>5.04</v>
      </c>
      <c r="C517">
        <v>16</v>
      </c>
      <c r="E517" s="15">
        <f t="shared" si="35"/>
        <v>4.03</v>
      </c>
      <c r="F517" s="15">
        <f t="shared" si="35"/>
        <v>1.18</v>
      </c>
      <c r="G517" s="6">
        <v>176</v>
      </c>
    </row>
    <row r="518" spans="1:7">
      <c r="A518" s="15">
        <v>67.700000000000699</v>
      </c>
      <c r="B518" s="45">
        <f t="shared" si="36"/>
        <v>5.0599999999999996</v>
      </c>
      <c r="C518">
        <v>17</v>
      </c>
      <c r="E518" s="15">
        <f t="shared" si="35"/>
        <v>4.04</v>
      </c>
      <c r="F518" s="15">
        <f t="shared" si="35"/>
        <v>1.18</v>
      </c>
      <c r="G518" s="6">
        <v>177</v>
      </c>
    </row>
    <row r="519" spans="1:7">
      <c r="A519" s="15">
        <v>67.800000000000693</v>
      </c>
      <c r="B519" s="45">
        <f t="shared" si="36"/>
        <v>5.07</v>
      </c>
      <c r="C519">
        <v>18</v>
      </c>
      <c r="E519" s="15">
        <f t="shared" si="35"/>
        <v>4.05</v>
      </c>
      <c r="F519" s="15">
        <f t="shared" si="35"/>
        <v>1.18</v>
      </c>
      <c r="G519" s="6">
        <v>178</v>
      </c>
    </row>
    <row r="520" spans="1:7">
      <c r="A520" s="15">
        <v>67.900000000000702</v>
      </c>
      <c r="B520" s="45">
        <f t="shared" si="36"/>
        <v>5.09</v>
      </c>
      <c r="C520">
        <v>19</v>
      </c>
      <c r="E520" s="15">
        <f t="shared" si="35"/>
        <v>4.07</v>
      </c>
      <c r="F520" s="15">
        <f t="shared" si="35"/>
        <v>1.19</v>
      </c>
      <c r="G520" s="6">
        <v>179</v>
      </c>
    </row>
    <row r="521" spans="1:7">
      <c r="A521" s="15">
        <v>68.000000000000696</v>
      </c>
      <c r="B521" s="45">
        <f t="shared" si="36"/>
        <v>5.0999999999999996</v>
      </c>
      <c r="C521">
        <v>20</v>
      </c>
      <c r="E521" s="15">
        <f t="shared" si="35"/>
        <v>4.08</v>
      </c>
      <c r="F521" s="15">
        <f t="shared" si="35"/>
        <v>1.19</v>
      </c>
      <c r="G521" s="6">
        <v>180</v>
      </c>
    </row>
    <row r="522" spans="1:7">
      <c r="A522" s="15">
        <v>68.100000000000705</v>
      </c>
      <c r="B522" s="45">
        <f t="shared" si="36"/>
        <v>5.12</v>
      </c>
      <c r="C522">
        <v>21</v>
      </c>
      <c r="E522" s="15">
        <f t="shared" si="35"/>
        <v>4.09</v>
      </c>
      <c r="F522" s="15">
        <f t="shared" si="35"/>
        <v>1.19</v>
      </c>
      <c r="G522" s="6">
        <v>181</v>
      </c>
    </row>
    <row r="523" spans="1:7">
      <c r="A523" s="15">
        <v>68.200000000000699</v>
      </c>
      <c r="B523" s="45">
        <f t="shared" si="36"/>
        <v>5.13</v>
      </c>
      <c r="C523">
        <v>22</v>
      </c>
      <c r="E523" s="15">
        <f t="shared" si="35"/>
        <v>4.0999999999999996</v>
      </c>
      <c r="F523" s="15">
        <f t="shared" si="35"/>
        <v>1.2</v>
      </c>
      <c r="G523" s="6">
        <v>182</v>
      </c>
    </row>
    <row r="524" spans="1:7">
      <c r="A524" s="15">
        <v>68.300000000000693</v>
      </c>
      <c r="B524" s="45">
        <f t="shared" si="36"/>
        <v>5.15</v>
      </c>
      <c r="C524">
        <v>23</v>
      </c>
      <c r="E524" s="15">
        <f t="shared" si="35"/>
        <v>4.1100000000000003</v>
      </c>
      <c r="F524" s="15">
        <f t="shared" si="35"/>
        <v>1.2</v>
      </c>
      <c r="G524" s="6">
        <v>183</v>
      </c>
    </row>
    <row r="525" spans="1:7">
      <c r="A525" s="15">
        <v>68.400000000000702</v>
      </c>
      <c r="B525" s="45">
        <f t="shared" si="36"/>
        <v>5.16</v>
      </c>
      <c r="C525">
        <v>24</v>
      </c>
      <c r="E525" s="15">
        <f t="shared" si="35"/>
        <v>4.12</v>
      </c>
      <c r="F525" s="15">
        <f t="shared" si="35"/>
        <v>1.21</v>
      </c>
      <c r="G525" s="6">
        <v>184</v>
      </c>
    </row>
    <row r="526" spans="1:7">
      <c r="A526" s="15">
        <v>68.500000000000696</v>
      </c>
      <c r="B526" s="45">
        <f t="shared" si="36"/>
        <v>5.18</v>
      </c>
      <c r="C526">
        <v>25</v>
      </c>
      <c r="E526" s="15">
        <f t="shared" si="35"/>
        <v>4.1399999999999997</v>
      </c>
      <c r="F526" s="15">
        <f t="shared" si="35"/>
        <v>1.21</v>
      </c>
      <c r="G526" s="6">
        <v>185</v>
      </c>
    </row>
    <row r="527" spans="1:7">
      <c r="A527" s="15">
        <v>68.600000000000705</v>
      </c>
      <c r="B527" s="45">
        <f t="shared" si="36"/>
        <v>5.19</v>
      </c>
      <c r="C527">
        <v>26</v>
      </c>
      <c r="E527" s="15">
        <f t="shared" si="35"/>
        <v>4.1500000000000004</v>
      </c>
      <c r="F527" s="15">
        <f t="shared" si="35"/>
        <v>1.21</v>
      </c>
      <c r="G527" s="6">
        <v>186</v>
      </c>
    </row>
    <row r="528" spans="1:7">
      <c r="A528" s="15">
        <v>68.700000000000699</v>
      </c>
      <c r="B528" s="45">
        <f t="shared" si="36"/>
        <v>5.21</v>
      </c>
      <c r="C528">
        <v>27</v>
      </c>
      <c r="E528" s="15">
        <f t="shared" si="35"/>
        <v>4.16</v>
      </c>
      <c r="F528" s="15">
        <f t="shared" si="35"/>
        <v>1.22</v>
      </c>
      <c r="G528" s="6">
        <v>187</v>
      </c>
    </row>
    <row r="529" spans="1:7">
      <c r="A529" s="15">
        <v>68.800000000000693</v>
      </c>
      <c r="B529" s="45">
        <f t="shared" si="36"/>
        <v>5.22</v>
      </c>
      <c r="C529">
        <v>28</v>
      </c>
      <c r="E529" s="15">
        <f t="shared" si="35"/>
        <v>4.17</v>
      </c>
      <c r="F529" s="15">
        <f t="shared" si="35"/>
        <v>1.22</v>
      </c>
      <c r="G529" s="6">
        <v>188</v>
      </c>
    </row>
    <row r="530" spans="1:7">
      <c r="A530" s="15">
        <v>68.900000000000702</v>
      </c>
      <c r="B530" s="45">
        <f t="shared" si="36"/>
        <v>5.24</v>
      </c>
      <c r="C530">
        <v>29</v>
      </c>
      <c r="E530" s="15">
        <f t="shared" si="35"/>
        <v>4.18</v>
      </c>
      <c r="F530" s="15">
        <f t="shared" si="35"/>
        <v>1.22</v>
      </c>
      <c r="G530" s="6">
        <v>189</v>
      </c>
    </row>
    <row r="531" spans="1:7">
      <c r="A531" s="15">
        <v>69.000000000000696</v>
      </c>
      <c r="B531" s="45">
        <f t="shared" si="36"/>
        <v>5.25</v>
      </c>
      <c r="C531">
        <v>30</v>
      </c>
      <c r="E531" s="15">
        <f t="shared" si="35"/>
        <v>4.1900000000000004</v>
      </c>
      <c r="F531" s="15">
        <f t="shared" si="35"/>
        <v>1.23</v>
      </c>
      <c r="G531" s="6">
        <v>190</v>
      </c>
    </row>
    <row r="532" spans="1:7">
      <c r="A532" s="15">
        <v>69.100000000000705</v>
      </c>
      <c r="B532" s="45">
        <f t="shared" si="36"/>
        <v>5.27</v>
      </c>
      <c r="C532">
        <v>31</v>
      </c>
      <c r="E532" s="15">
        <f t="shared" si="35"/>
        <v>4.2</v>
      </c>
      <c r="F532" s="15">
        <f t="shared" si="35"/>
        <v>1.23</v>
      </c>
      <c r="G532" s="6">
        <v>191</v>
      </c>
    </row>
    <row r="533" spans="1:7">
      <c r="A533" s="15">
        <v>69.200000000000699</v>
      </c>
      <c r="B533" s="45">
        <f t="shared" si="36"/>
        <v>5.28</v>
      </c>
      <c r="C533">
        <v>32</v>
      </c>
      <c r="E533" s="15">
        <f t="shared" si="35"/>
        <v>4.22</v>
      </c>
      <c r="F533" s="15">
        <f t="shared" si="35"/>
        <v>1.23</v>
      </c>
      <c r="G533" s="6">
        <v>192</v>
      </c>
    </row>
    <row r="534" spans="1:7">
      <c r="A534" s="15">
        <v>69.300000000000693</v>
      </c>
      <c r="B534" s="45">
        <f t="shared" si="36"/>
        <v>5.3</v>
      </c>
      <c r="C534">
        <v>33</v>
      </c>
      <c r="E534" s="15">
        <f t="shared" ref="E534:F597" si="37">ROUND((E$821-E$341)/480*$G534+E$341,2)</f>
        <v>4.2300000000000004</v>
      </c>
      <c r="F534" s="15">
        <f t="shared" si="37"/>
        <v>1.24</v>
      </c>
      <c r="G534" s="6">
        <v>193</v>
      </c>
    </row>
    <row r="535" spans="1:7">
      <c r="A535" s="15">
        <v>69.400000000000702</v>
      </c>
      <c r="B535" s="45">
        <f t="shared" si="36"/>
        <v>5.31</v>
      </c>
      <c r="C535">
        <v>34</v>
      </c>
      <c r="E535" s="15">
        <f t="shared" si="37"/>
        <v>4.24</v>
      </c>
      <c r="F535" s="15">
        <f t="shared" si="37"/>
        <v>1.24</v>
      </c>
      <c r="G535" s="6">
        <v>194</v>
      </c>
    </row>
    <row r="536" spans="1:7">
      <c r="A536" s="15">
        <v>69.500000000000696</v>
      </c>
      <c r="B536" s="45">
        <f t="shared" si="36"/>
        <v>5.33</v>
      </c>
      <c r="C536">
        <v>35</v>
      </c>
      <c r="E536" s="15">
        <f t="shared" si="37"/>
        <v>4.25</v>
      </c>
      <c r="F536" s="15">
        <f t="shared" si="37"/>
        <v>1.24</v>
      </c>
      <c r="G536" s="6">
        <v>195</v>
      </c>
    </row>
    <row r="537" spans="1:7">
      <c r="A537" s="15">
        <v>69.600000000000705</v>
      </c>
      <c r="B537" s="45">
        <f t="shared" si="36"/>
        <v>5.34</v>
      </c>
      <c r="C537">
        <v>36</v>
      </c>
      <c r="E537" s="15">
        <f t="shared" si="37"/>
        <v>4.26</v>
      </c>
      <c r="F537" s="15">
        <f t="shared" si="37"/>
        <v>1.25</v>
      </c>
      <c r="G537" s="6">
        <v>196</v>
      </c>
    </row>
    <row r="538" spans="1:7">
      <c r="A538" s="15">
        <v>69.700000000000699</v>
      </c>
      <c r="B538" s="45">
        <f t="shared" si="36"/>
        <v>5.36</v>
      </c>
      <c r="C538">
        <v>37</v>
      </c>
      <c r="E538" s="15">
        <f t="shared" si="37"/>
        <v>4.2699999999999996</v>
      </c>
      <c r="F538" s="15">
        <f t="shared" si="37"/>
        <v>1.25</v>
      </c>
      <c r="G538" s="6">
        <v>197</v>
      </c>
    </row>
    <row r="539" spans="1:7">
      <c r="A539" s="15">
        <v>69.800000000000693</v>
      </c>
      <c r="B539" s="45">
        <f t="shared" si="36"/>
        <v>5.37</v>
      </c>
      <c r="C539">
        <v>38</v>
      </c>
      <c r="E539" s="15">
        <f t="shared" si="37"/>
        <v>4.29</v>
      </c>
      <c r="F539" s="15">
        <f t="shared" si="37"/>
        <v>1.26</v>
      </c>
      <c r="G539" s="6">
        <v>198</v>
      </c>
    </row>
    <row r="540" spans="1:7">
      <c r="A540" s="15">
        <v>69.900000000000702</v>
      </c>
      <c r="B540" s="45">
        <f t="shared" si="36"/>
        <v>5.39</v>
      </c>
      <c r="C540">
        <v>39</v>
      </c>
      <c r="E540" s="15">
        <f t="shared" si="37"/>
        <v>4.3</v>
      </c>
      <c r="F540" s="15">
        <f t="shared" si="37"/>
        <v>1.26</v>
      </c>
      <c r="G540" s="6">
        <v>199</v>
      </c>
    </row>
    <row r="541" spans="1:7">
      <c r="A541" s="17">
        <v>70.000000000000696</v>
      </c>
      <c r="B541" s="46">
        <f>'4_Anzeichnungsprotokoll'!E39</f>
        <v>5.4</v>
      </c>
      <c r="C541" s="18">
        <v>0</v>
      </c>
      <c r="E541" s="15">
        <f t="shared" si="37"/>
        <v>4.3099999999999996</v>
      </c>
      <c r="F541" s="15">
        <f t="shared" si="37"/>
        <v>1.26</v>
      </c>
      <c r="G541" s="6">
        <v>200</v>
      </c>
    </row>
    <row r="542" spans="1:7">
      <c r="A542" s="15">
        <v>70.100000000000705</v>
      </c>
      <c r="B542" s="45">
        <f>ROUND(((B$581-B$541)/40*C542+B$541),2)</f>
        <v>5.42</v>
      </c>
      <c r="C542">
        <v>1</v>
      </c>
      <c r="E542" s="15">
        <f t="shared" si="37"/>
        <v>4.32</v>
      </c>
      <c r="F542" s="15">
        <f t="shared" si="37"/>
        <v>1.27</v>
      </c>
      <c r="G542" s="6">
        <v>201</v>
      </c>
    </row>
    <row r="543" spans="1:7">
      <c r="A543" s="15">
        <v>70.200000000000699</v>
      </c>
      <c r="B543" s="45">
        <f t="shared" ref="B543:B580" si="38">ROUND(((B$581-B$541)/40*C543+B$541),2)</f>
        <v>5.43</v>
      </c>
      <c r="C543">
        <v>2</v>
      </c>
      <c r="E543" s="15">
        <f t="shared" si="37"/>
        <v>4.33</v>
      </c>
      <c r="F543" s="15">
        <f t="shared" si="37"/>
        <v>1.27</v>
      </c>
      <c r="G543" s="6">
        <v>202</v>
      </c>
    </row>
    <row r="544" spans="1:7">
      <c r="A544" s="15">
        <v>70.300000000000693</v>
      </c>
      <c r="B544" s="45">
        <f t="shared" si="38"/>
        <v>5.45</v>
      </c>
      <c r="C544">
        <v>3</v>
      </c>
      <c r="E544" s="15">
        <f t="shared" si="37"/>
        <v>4.34</v>
      </c>
      <c r="F544" s="15">
        <f t="shared" si="37"/>
        <v>1.27</v>
      </c>
      <c r="G544" s="6">
        <v>203</v>
      </c>
    </row>
    <row r="545" spans="1:7">
      <c r="A545" s="15">
        <v>70.400000000000702</v>
      </c>
      <c r="B545" s="45">
        <f t="shared" si="38"/>
        <v>5.46</v>
      </c>
      <c r="C545">
        <v>4</v>
      </c>
      <c r="E545" s="15">
        <f t="shared" si="37"/>
        <v>4.3499999999999996</v>
      </c>
      <c r="F545" s="15">
        <f t="shared" si="37"/>
        <v>1.28</v>
      </c>
      <c r="G545" s="6">
        <v>204</v>
      </c>
    </row>
    <row r="546" spans="1:7">
      <c r="A546" s="15">
        <v>70.500000000000696</v>
      </c>
      <c r="B546" s="45">
        <f t="shared" si="38"/>
        <v>5.48</v>
      </c>
      <c r="C546">
        <v>5</v>
      </c>
      <c r="E546" s="15">
        <f t="shared" si="37"/>
        <v>4.37</v>
      </c>
      <c r="F546" s="15">
        <f t="shared" si="37"/>
        <v>1.28</v>
      </c>
      <c r="G546" s="6">
        <v>205</v>
      </c>
    </row>
    <row r="547" spans="1:7">
      <c r="A547" s="15">
        <v>70.600000000000705</v>
      </c>
      <c r="B547" s="45">
        <f t="shared" si="38"/>
        <v>5.49</v>
      </c>
      <c r="C547">
        <v>6</v>
      </c>
      <c r="E547" s="15">
        <f t="shared" si="37"/>
        <v>4.38</v>
      </c>
      <c r="F547" s="15">
        <f t="shared" si="37"/>
        <v>1.28</v>
      </c>
      <c r="G547" s="6">
        <v>206</v>
      </c>
    </row>
    <row r="548" spans="1:7">
      <c r="A548" s="15">
        <v>70.700000000000699</v>
      </c>
      <c r="B548" s="45">
        <f t="shared" si="38"/>
        <v>5.51</v>
      </c>
      <c r="C548">
        <v>7</v>
      </c>
      <c r="E548" s="15">
        <f t="shared" si="37"/>
        <v>4.3899999999999997</v>
      </c>
      <c r="F548" s="15">
        <f t="shared" si="37"/>
        <v>1.29</v>
      </c>
      <c r="G548" s="6">
        <v>207</v>
      </c>
    </row>
    <row r="549" spans="1:7">
      <c r="A549" s="15">
        <v>70.800000000000693</v>
      </c>
      <c r="B549" s="45">
        <f t="shared" si="38"/>
        <v>5.52</v>
      </c>
      <c r="C549">
        <v>8</v>
      </c>
      <c r="E549" s="15">
        <f t="shared" si="37"/>
        <v>4.4000000000000004</v>
      </c>
      <c r="F549" s="15">
        <f t="shared" si="37"/>
        <v>1.29</v>
      </c>
      <c r="G549" s="6">
        <v>208</v>
      </c>
    </row>
    <row r="550" spans="1:7">
      <c r="A550" s="15">
        <v>70.900000000000702</v>
      </c>
      <c r="B550" s="45">
        <f t="shared" si="38"/>
        <v>5.54</v>
      </c>
      <c r="C550">
        <v>9</v>
      </c>
      <c r="E550" s="15">
        <f t="shared" si="37"/>
        <v>4.41</v>
      </c>
      <c r="F550" s="15">
        <f t="shared" si="37"/>
        <v>1.29</v>
      </c>
      <c r="G550" s="6">
        <v>209</v>
      </c>
    </row>
    <row r="551" spans="1:7">
      <c r="A551" s="15">
        <v>71.000000000000696</v>
      </c>
      <c r="B551" s="45">
        <f t="shared" si="38"/>
        <v>5.55</v>
      </c>
      <c r="C551">
        <v>10</v>
      </c>
      <c r="E551" s="15">
        <f t="shared" si="37"/>
        <v>4.42</v>
      </c>
      <c r="F551" s="15">
        <f t="shared" si="37"/>
        <v>1.3</v>
      </c>
      <c r="G551" s="6">
        <v>210</v>
      </c>
    </row>
    <row r="552" spans="1:7">
      <c r="A552" s="15">
        <v>71.100000000000705</v>
      </c>
      <c r="B552" s="45">
        <f t="shared" si="38"/>
        <v>5.57</v>
      </c>
      <c r="C552">
        <v>11</v>
      </c>
      <c r="E552" s="15">
        <f t="shared" si="37"/>
        <v>4.4400000000000004</v>
      </c>
      <c r="F552" s="15">
        <f t="shared" si="37"/>
        <v>1.3</v>
      </c>
      <c r="G552" s="6">
        <v>211</v>
      </c>
    </row>
    <row r="553" spans="1:7">
      <c r="A553" s="15">
        <v>71.200000000000699</v>
      </c>
      <c r="B553" s="45">
        <f t="shared" si="38"/>
        <v>5.58</v>
      </c>
      <c r="C553">
        <v>12</v>
      </c>
      <c r="E553" s="15">
        <f t="shared" si="37"/>
        <v>4.45</v>
      </c>
      <c r="F553" s="15">
        <f t="shared" si="37"/>
        <v>1.31</v>
      </c>
      <c r="G553" s="6">
        <v>212</v>
      </c>
    </row>
    <row r="554" spans="1:7">
      <c r="A554" s="15">
        <v>71.300000000000693</v>
      </c>
      <c r="B554" s="45">
        <f t="shared" si="38"/>
        <v>5.6</v>
      </c>
      <c r="C554">
        <v>13</v>
      </c>
      <c r="E554" s="15">
        <f t="shared" si="37"/>
        <v>4.46</v>
      </c>
      <c r="F554" s="15">
        <f t="shared" si="37"/>
        <v>1.31</v>
      </c>
      <c r="G554" s="6">
        <v>213</v>
      </c>
    </row>
    <row r="555" spans="1:7">
      <c r="A555" s="15">
        <v>71.400000000000702</v>
      </c>
      <c r="B555" s="45">
        <f t="shared" si="38"/>
        <v>5.61</v>
      </c>
      <c r="C555">
        <v>14</v>
      </c>
      <c r="E555" s="15">
        <f t="shared" si="37"/>
        <v>4.47</v>
      </c>
      <c r="F555" s="15">
        <f t="shared" si="37"/>
        <v>1.31</v>
      </c>
      <c r="G555" s="6">
        <v>214</v>
      </c>
    </row>
    <row r="556" spans="1:7">
      <c r="A556" s="15">
        <v>71.500000000000796</v>
      </c>
      <c r="B556" s="45">
        <f t="shared" si="38"/>
        <v>5.63</v>
      </c>
      <c r="C556">
        <v>15</v>
      </c>
      <c r="E556" s="15">
        <f t="shared" si="37"/>
        <v>4.4800000000000004</v>
      </c>
      <c r="F556" s="15">
        <f t="shared" si="37"/>
        <v>1.32</v>
      </c>
      <c r="G556" s="6">
        <v>215</v>
      </c>
    </row>
    <row r="557" spans="1:7">
      <c r="A557" s="15">
        <v>71.600000000000804</v>
      </c>
      <c r="B557" s="45">
        <f t="shared" si="38"/>
        <v>5.64</v>
      </c>
      <c r="C557">
        <v>16</v>
      </c>
      <c r="E557" s="15">
        <f t="shared" si="37"/>
        <v>4.49</v>
      </c>
      <c r="F557" s="15">
        <f t="shared" si="37"/>
        <v>1.32</v>
      </c>
      <c r="G557" s="6">
        <v>216</v>
      </c>
    </row>
    <row r="558" spans="1:7">
      <c r="A558" s="15">
        <v>71.700000000000799</v>
      </c>
      <c r="B558" s="45">
        <f t="shared" si="38"/>
        <v>5.66</v>
      </c>
      <c r="C558">
        <v>17</v>
      </c>
      <c r="E558" s="15">
        <f t="shared" si="37"/>
        <v>4.5</v>
      </c>
      <c r="F558" s="15">
        <f t="shared" si="37"/>
        <v>1.32</v>
      </c>
      <c r="G558" s="6">
        <v>217</v>
      </c>
    </row>
    <row r="559" spans="1:7">
      <c r="A559" s="15">
        <v>71.800000000000793</v>
      </c>
      <c r="B559" s="45">
        <f t="shared" si="38"/>
        <v>5.67</v>
      </c>
      <c r="C559">
        <v>18</v>
      </c>
      <c r="E559" s="15">
        <f t="shared" si="37"/>
        <v>4.5199999999999996</v>
      </c>
      <c r="F559" s="15">
        <f t="shared" si="37"/>
        <v>1.33</v>
      </c>
      <c r="G559" s="6">
        <v>218</v>
      </c>
    </row>
    <row r="560" spans="1:7">
      <c r="A560" s="15">
        <v>71.900000000000801</v>
      </c>
      <c r="B560" s="45">
        <f t="shared" si="38"/>
        <v>5.69</v>
      </c>
      <c r="C560">
        <v>19</v>
      </c>
      <c r="E560" s="15">
        <f t="shared" si="37"/>
        <v>4.53</v>
      </c>
      <c r="F560" s="15">
        <f t="shared" si="37"/>
        <v>1.33</v>
      </c>
      <c r="G560" s="6">
        <v>219</v>
      </c>
    </row>
    <row r="561" spans="1:7">
      <c r="A561" s="15">
        <v>72.000000000000796</v>
      </c>
      <c r="B561" s="45">
        <f t="shared" si="38"/>
        <v>5.7</v>
      </c>
      <c r="C561">
        <v>20</v>
      </c>
      <c r="E561" s="15">
        <f t="shared" si="37"/>
        <v>4.54</v>
      </c>
      <c r="F561" s="15">
        <f t="shared" si="37"/>
        <v>1.33</v>
      </c>
      <c r="G561" s="6">
        <v>220</v>
      </c>
    </row>
    <row r="562" spans="1:7">
      <c r="A562" s="15">
        <v>72.100000000000804</v>
      </c>
      <c r="B562" s="45">
        <f t="shared" si="38"/>
        <v>5.72</v>
      </c>
      <c r="C562">
        <v>21</v>
      </c>
      <c r="E562" s="15">
        <f t="shared" si="37"/>
        <v>4.55</v>
      </c>
      <c r="F562" s="15">
        <f t="shared" si="37"/>
        <v>1.34</v>
      </c>
      <c r="G562" s="6">
        <v>221</v>
      </c>
    </row>
    <row r="563" spans="1:7">
      <c r="A563" s="15">
        <v>72.200000000000799</v>
      </c>
      <c r="B563" s="45">
        <f t="shared" si="38"/>
        <v>5.73</v>
      </c>
      <c r="C563">
        <v>22</v>
      </c>
      <c r="E563" s="15">
        <f t="shared" si="37"/>
        <v>4.5599999999999996</v>
      </c>
      <c r="F563" s="15">
        <f t="shared" si="37"/>
        <v>1.34</v>
      </c>
      <c r="G563" s="6">
        <v>222</v>
      </c>
    </row>
    <row r="564" spans="1:7">
      <c r="A564" s="15">
        <v>72.300000000000793</v>
      </c>
      <c r="B564" s="45">
        <f t="shared" si="38"/>
        <v>5.75</v>
      </c>
      <c r="C564">
        <v>23</v>
      </c>
      <c r="E564" s="15">
        <f t="shared" si="37"/>
        <v>4.57</v>
      </c>
      <c r="F564" s="15">
        <f t="shared" si="37"/>
        <v>1.34</v>
      </c>
      <c r="G564" s="6">
        <v>223</v>
      </c>
    </row>
    <row r="565" spans="1:7">
      <c r="A565" s="15">
        <v>72.400000000000801</v>
      </c>
      <c r="B565" s="45">
        <f t="shared" si="38"/>
        <v>5.76</v>
      </c>
      <c r="C565">
        <v>24</v>
      </c>
      <c r="E565" s="15">
        <f t="shared" si="37"/>
        <v>4.59</v>
      </c>
      <c r="F565" s="15">
        <f t="shared" si="37"/>
        <v>1.35</v>
      </c>
      <c r="G565" s="6">
        <v>224</v>
      </c>
    </row>
    <row r="566" spans="1:7">
      <c r="A566" s="15">
        <v>72.500000000000796</v>
      </c>
      <c r="B566" s="45">
        <f t="shared" si="38"/>
        <v>5.78</v>
      </c>
      <c r="C566">
        <v>25</v>
      </c>
      <c r="E566" s="15">
        <f t="shared" si="37"/>
        <v>4.5999999999999996</v>
      </c>
      <c r="F566" s="15">
        <f t="shared" si="37"/>
        <v>1.35</v>
      </c>
      <c r="G566" s="6">
        <v>225</v>
      </c>
    </row>
    <row r="567" spans="1:7">
      <c r="A567" s="15">
        <v>72.600000000000804</v>
      </c>
      <c r="B567" s="45">
        <f t="shared" si="38"/>
        <v>5.79</v>
      </c>
      <c r="C567">
        <v>26</v>
      </c>
      <c r="E567" s="15">
        <f t="shared" si="37"/>
        <v>4.6100000000000003</v>
      </c>
      <c r="F567" s="15">
        <f t="shared" si="37"/>
        <v>1.36</v>
      </c>
      <c r="G567" s="6">
        <v>226</v>
      </c>
    </row>
    <row r="568" spans="1:7">
      <c r="A568" s="15">
        <v>72.700000000000799</v>
      </c>
      <c r="B568" s="45">
        <f t="shared" si="38"/>
        <v>5.81</v>
      </c>
      <c r="C568">
        <v>27</v>
      </c>
      <c r="E568" s="15">
        <f t="shared" si="37"/>
        <v>4.62</v>
      </c>
      <c r="F568" s="15">
        <f t="shared" si="37"/>
        <v>1.36</v>
      </c>
      <c r="G568" s="6">
        <v>227</v>
      </c>
    </row>
    <row r="569" spans="1:7">
      <c r="A569" s="15">
        <v>72.800000000000793</v>
      </c>
      <c r="B569" s="45">
        <f t="shared" si="38"/>
        <v>5.82</v>
      </c>
      <c r="C569">
        <v>28</v>
      </c>
      <c r="E569" s="15">
        <f t="shared" si="37"/>
        <v>4.63</v>
      </c>
      <c r="F569" s="15">
        <f t="shared" si="37"/>
        <v>1.36</v>
      </c>
      <c r="G569" s="6">
        <v>228</v>
      </c>
    </row>
    <row r="570" spans="1:7">
      <c r="A570" s="15">
        <v>72.900000000000801</v>
      </c>
      <c r="B570" s="45">
        <f t="shared" si="38"/>
        <v>5.84</v>
      </c>
      <c r="C570">
        <v>29</v>
      </c>
      <c r="E570" s="15">
        <f t="shared" si="37"/>
        <v>4.6399999999999997</v>
      </c>
      <c r="F570" s="15">
        <f t="shared" si="37"/>
        <v>1.37</v>
      </c>
      <c r="G570" s="6">
        <v>229</v>
      </c>
    </row>
    <row r="571" spans="1:7">
      <c r="A571" s="15">
        <v>73.000000000000796</v>
      </c>
      <c r="B571" s="45">
        <f t="shared" si="38"/>
        <v>5.85</v>
      </c>
      <c r="C571">
        <v>30</v>
      </c>
      <c r="E571" s="15">
        <f t="shared" si="37"/>
        <v>4.6500000000000004</v>
      </c>
      <c r="F571" s="15">
        <f t="shared" si="37"/>
        <v>1.37</v>
      </c>
      <c r="G571" s="6">
        <v>230</v>
      </c>
    </row>
    <row r="572" spans="1:7">
      <c r="A572" s="15">
        <v>73.100000000000804</v>
      </c>
      <c r="B572" s="45">
        <f t="shared" si="38"/>
        <v>5.87</v>
      </c>
      <c r="C572">
        <v>31</v>
      </c>
      <c r="E572" s="15">
        <f t="shared" si="37"/>
        <v>4.67</v>
      </c>
      <c r="F572" s="15">
        <f t="shared" si="37"/>
        <v>1.37</v>
      </c>
      <c r="G572" s="6">
        <v>231</v>
      </c>
    </row>
    <row r="573" spans="1:7">
      <c r="A573" s="15">
        <v>73.200000000000799</v>
      </c>
      <c r="B573" s="45">
        <f t="shared" si="38"/>
        <v>5.88</v>
      </c>
      <c r="C573">
        <v>32</v>
      </c>
      <c r="E573" s="15">
        <f t="shared" si="37"/>
        <v>4.68</v>
      </c>
      <c r="F573" s="15">
        <f t="shared" si="37"/>
        <v>1.38</v>
      </c>
      <c r="G573" s="6">
        <v>232</v>
      </c>
    </row>
    <row r="574" spans="1:7">
      <c r="A574" s="15">
        <v>73.300000000000793</v>
      </c>
      <c r="B574" s="45">
        <f t="shared" si="38"/>
        <v>5.9</v>
      </c>
      <c r="C574">
        <v>33</v>
      </c>
      <c r="E574" s="15">
        <f t="shared" si="37"/>
        <v>4.6900000000000004</v>
      </c>
      <c r="F574" s="15">
        <f t="shared" si="37"/>
        <v>1.38</v>
      </c>
      <c r="G574" s="6">
        <v>233</v>
      </c>
    </row>
    <row r="575" spans="1:7">
      <c r="A575" s="15">
        <v>73.400000000000801</v>
      </c>
      <c r="B575" s="45">
        <f t="shared" si="38"/>
        <v>5.91</v>
      </c>
      <c r="C575">
        <v>34</v>
      </c>
      <c r="E575" s="15">
        <f t="shared" si="37"/>
        <v>4.7</v>
      </c>
      <c r="F575" s="15">
        <f t="shared" si="37"/>
        <v>1.38</v>
      </c>
      <c r="G575" s="6">
        <v>234</v>
      </c>
    </row>
    <row r="576" spans="1:7">
      <c r="A576" s="15">
        <v>73.500000000000796</v>
      </c>
      <c r="B576" s="45">
        <f t="shared" si="38"/>
        <v>5.93</v>
      </c>
      <c r="C576">
        <v>35</v>
      </c>
      <c r="E576" s="15">
        <f t="shared" si="37"/>
        <v>4.71</v>
      </c>
      <c r="F576" s="15">
        <f t="shared" si="37"/>
        <v>1.39</v>
      </c>
      <c r="G576" s="6">
        <v>235</v>
      </c>
    </row>
    <row r="577" spans="1:7">
      <c r="A577" s="15">
        <v>73.600000000000804</v>
      </c>
      <c r="B577" s="45">
        <f t="shared" si="38"/>
        <v>5.94</v>
      </c>
      <c r="C577">
        <v>36</v>
      </c>
      <c r="E577" s="15">
        <f t="shared" si="37"/>
        <v>4.72</v>
      </c>
      <c r="F577" s="15">
        <f t="shared" si="37"/>
        <v>1.39</v>
      </c>
      <c r="G577" s="6">
        <v>236</v>
      </c>
    </row>
    <row r="578" spans="1:7">
      <c r="A578" s="15">
        <v>73.700000000000799</v>
      </c>
      <c r="B578" s="45">
        <f t="shared" si="38"/>
        <v>5.96</v>
      </c>
      <c r="C578">
        <v>37</v>
      </c>
      <c r="E578" s="15">
        <f t="shared" si="37"/>
        <v>4.74</v>
      </c>
      <c r="F578" s="15">
        <f t="shared" si="37"/>
        <v>1.39</v>
      </c>
      <c r="G578" s="6">
        <v>237</v>
      </c>
    </row>
    <row r="579" spans="1:7">
      <c r="A579" s="15">
        <v>73.800000000000793</v>
      </c>
      <c r="B579" s="45">
        <f t="shared" si="38"/>
        <v>5.97</v>
      </c>
      <c r="C579">
        <v>38</v>
      </c>
      <c r="E579" s="15">
        <f t="shared" si="37"/>
        <v>4.75</v>
      </c>
      <c r="F579" s="15">
        <f t="shared" si="37"/>
        <v>1.4</v>
      </c>
      <c r="G579" s="6">
        <v>238</v>
      </c>
    </row>
    <row r="580" spans="1:7">
      <c r="A580" s="15">
        <v>73.900000000000801</v>
      </c>
      <c r="B580" s="45">
        <f t="shared" si="38"/>
        <v>5.99</v>
      </c>
      <c r="C580">
        <v>39</v>
      </c>
      <c r="E580" s="15">
        <f t="shared" si="37"/>
        <v>4.76</v>
      </c>
      <c r="F580" s="15">
        <f t="shared" si="37"/>
        <v>1.4</v>
      </c>
      <c r="G580" s="6">
        <v>239</v>
      </c>
    </row>
    <row r="581" spans="1:7">
      <c r="A581" s="17">
        <v>74.000000000000796</v>
      </c>
      <c r="B581" s="46">
        <f>'4_Anzeichnungsprotokoll'!E40</f>
        <v>6</v>
      </c>
      <c r="C581" s="18">
        <v>0</v>
      </c>
      <c r="E581" s="15">
        <f t="shared" si="37"/>
        <v>4.7699999999999996</v>
      </c>
      <c r="F581" s="15">
        <f t="shared" si="37"/>
        <v>1.41</v>
      </c>
      <c r="G581" s="6">
        <v>240</v>
      </c>
    </row>
    <row r="582" spans="1:7">
      <c r="A582" s="15">
        <v>74.100000000000804</v>
      </c>
      <c r="B582" s="45">
        <f>ROUND(((B$621-B$581)/40*C582+B$581),2)</f>
        <v>6.02</v>
      </c>
      <c r="C582">
        <v>1</v>
      </c>
      <c r="E582" s="15">
        <f t="shared" si="37"/>
        <v>4.78</v>
      </c>
      <c r="F582" s="15">
        <f t="shared" si="37"/>
        <v>1.41</v>
      </c>
      <c r="G582" s="6">
        <v>241</v>
      </c>
    </row>
    <row r="583" spans="1:7">
      <c r="A583" s="15">
        <v>74.200000000000799</v>
      </c>
      <c r="B583" s="45">
        <f t="shared" ref="B583:B620" si="39">ROUND(((B$621-B$581)/40*C583+B$581),2)</f>
        <v>6.03</v>
      </c>
      <c r="C583">
        <v>2</v>
      </c>
      <c r="E583" s="15">
        <f t="shared" si="37"/>
        <v>4.79</v>
      </c>
      <c r="F583" s="15">
        <f t="shared" si="37"/>
        <v>1.41</v>
      </c>
      <c r="G583" s="6">
        <v>242</v>
      </c>
    </row>
    <row r="584" spans="1:7">
      <c r="A584" s="15">
        <v>74.300000000000793</v>
      </c>
      <c r="B584" s="45">
        <f t="shared" si="39"/>
        <v>6.05</v>
      </c>
      <c r="C584">
        <v>3</v>
      </c>
      <c r="E584" s="15">
        <f t="shared" si="37"/>
        <v>4.8</v>
      </c>
      <c r="F584" s="15">
        <f t="shared" si="37"/>
        <v>1.42</v>
      </c>
      <c r="G584" s="6">
        <v>243</v>
      </c>
    </row>
    <row r="585" spans="1:7">
      <c r="A585" s="15">
        <v>74.400000000000801</v>
      </c>
      <c r="B585" s="45">
        <f t="shared" si="39"/>
        <v>6.06</v>
      </c>
      <c r="C585">
        <v>4</v>
      </c>
      <c r="E585" s="15">
        <f t="shared" si="37"/>
        <v>4.82</v>
      </c>
      <c r="F585" s="15">
        <f t="shared" si="37"/>
        <v>1.42</v>
      </c>
      <c r="G585" s="6">
        <v>244</v>
      </c>
    </row>
    <row r="586" spans="1:7">
      <c r="A586" s="15">
        <v>74.500000000000796</v>
      </c>
      <c r="B586" s="45">
        <f t="shared" si="39"/>
        <v>6.08</v>
      </c>
      <c r="C586">
        <v>5</v>
      </c>
      <c r="E586" s="15">
        <f t="shared" si="37"/>
        <v>4.83</v>
      </c>
      <c r="F586" s="15">
        <f t="shared" si="37"/>
        <v>1.42</v>
      </c>
      <c r="G586" s="6">
        <v>245</v>
      </c>
    </row>
    <row r="587" spans="1:7">
      <c r="A587" s="15">
        <v>74.600000000000804</v>
      </c>
      <c r="B587" s="45">
        <f t="shared" si="39"/>
        <v>6.09</v>
      </c>
      <c r="C587">
        <v>6</v>
      </c>
      <c r="E587" s="15">
        <f t="shared" si="37"/>
        <v>4.84</v>
      </c>
      <c r="F587" s="15">
        <f t="shared" si="37"/>
        <v>1.43</v>
      </c>
      <c r="G587" s="6">
        <v>246</v>
      </c>
    </row>
    <row r="588" spans="1:7">
      <c r="A588" s="15">
        <v>74.700000000000799</v>
      </c>
      <c r="B588" s="45">
        <f t="shared" si="39"/>
        <v>6.11</v>
      </c>
      <c r="C588">
        <v>7</v>
      </c>
      <c r="E588" s="15">
        <f t="shared" si="37"/>
        <v>4.8499999999999996</v>
      </c>
      <c r="F588" s="15">
        <f t="shared" si="37"/>
        <v>1.43</v>
      </c>
      <c r="G588" s="6">
        <v>247</v>
      </c>
    </row>
    <row r="589" spans="1:7">
      <c r="A589" s="15">
        <v>74.800000000000793</v>
      </c>
      <c r="B589" s="45">
        <f t="shared" si="39"/>
        <v>6.12</v>
      </c>
      <c r="C589">
        <v>8</v>
      </c>
      <c r="E589" s="15">
        <f t="shared" si="37"/>
        <v>4.8600000000000003</v>
      </c>
      <c r="F589" s="15">
        <f t="shared" si="37"/>
        <v>1.43</v>
      </c>
      <c r="G589" s="6">
        <v>248</v>
      </c>
    </row>
    <row r="590" spans="1:7">
      <c r="A590" s="15">
        <v>74.900000000000801</v>
      </c>
      <c r="B590" s="45">
        <f t="shared" si="39"/>
        <v>6.14</v>
      </c>
      <c r="C590">
        <v>9</v>
      </c>
      <c r="E590" s="15">
        <f t="shared" si="37"/>
        <v>4.87</v>
      </c>
      <c r="F590" s="15">
        <f t="shared" si="37"/>
        <v>1.44</v>
      </c>
      <c r="G590" s="6">
        <v>249</v>
      </c>
    </row>
    <row r="591" spans="1:7">
      <c r="A591" s="15">
        <v>75.000000000000796</v>
      </c>
      <c r="B591" s="45">
        <f t="shared" si="39"/>
        <v>6.15</v>
      </c>
      <c r="C591">
        <v>10</v>
      </c>
      <c r="E591" s="15">
        <f t="shared" si="37"/>
        <v>4.8899999999999997</v>
      </c>
      <c r="F591" s="15">
        <f t="shared" si="37"/>
        <v>1.44</v>
      </c>
      <c r="G591" s="6">
        <v>250</v>
      </c>
    </row>
    <row r="592" spans="1:7">
      <c r="A592" s="15">
        <v>75.100000000000804</v>
      </c>
      <c r="B592" s="45">
        <f t="shared" si="39"/>
        <v>6.17</v>
      </c>
      <c r="C592">
        <v>11</v>
      </c>
      <c r="E592" s="15">
        <f t="shared" si="37"/>
        <v>4.9000000000000004</v>
      </c>
      <c r="F592" s="15">
        <f t="shared" si="37"/>
        <v>1.44</v>
      </c>
      <c r="G592" s="6">
        <v>251</v>
      </c>
    </row>
    <row r="593" spans="1:7">
      <c r="A593" s="15">
        <v>75.200000000000799</v>
      </c>
      <c r="B593" s="45">
        <f t="shared" si="39"/>
        <v>6.18</v>
      </c>
      <c r="C593">
        <v>12</v>
      </c>
      <c r="E593" s="15">
        <f t="shared" si="37"/>
        <v>4.91</v>
      </c>
      <c r="F593" s="15">
        <f t="shared" si="37"/>
        <v>1.45</v>
      </c>
      <c r="G593" s="6">
        <v>252</v>
      </c>
    </row>
    <row r="594" spans="1:7">
      <c r="A594" s="15">
        <v>75.300000000000793</v>
      </c>
      <c r="B594" s="45">
        <f t="shared" si="39"/>
        <v>6.2</v>
      </c>
      <c r="C594">
        <v>13</v>
      </c>
      <c r="E594" s="15">
        <f t="shared" si="37"/>
        <v>4.92</v>
      </c>
      <c r="F594" s="15">
        <f t="shared" si="37"/>
        <v>1.45</v>
      </c>
      <c r="G594" s="6">
        <v>253</v>
      </c>
    </row>
    <row r="595" spans="1:7">
      <c r="A595" s="15">
        <v>75.400000000000801</v>
      </c>
      <c r="B595" s="45">
        <f t="shared" si="39"/>
        <v>6.21</v>
      </c>
      <c r="C595">
        <v>14</v>
      </c>
      <c r="E595" s="15">
        <f t="shared" si="37"/>
        <v>4.93</v>
      </c>
      <c r="F595" s="15">
        <f t="shared" si="37"/>
        <v>1.45</v>
      </c>
      <c r="G595" s="6">
        <v>254</v>
      </c>
    </row>
    <row r="596" spans="1:7">
      <c r="A596" s="15">
        <v>75.500000000000796</v>
      </c>
      <c r="B596" s="45">
        <f t="shared" si="39"/>
        <v>6.23</v>
      </c>
      <c r="C596">
        <v>15</v>
      </c>
      <c r="E596" s="15">
        <f t="shared" si="37"/>
        <v>4.9400000000000004</v>
      </c>
      <c r="F596" s="15">
        <f t="shared" si="37"/>
        <v>1.46</v>
      </c>
      <c r="G596" s="6">
        <v>255</v>
      </c>
    </row>
    <row r="597" spans="1:7">
      <c r="A597" s="15">
        <v>75.600000000000804</v>
      </c>
      <c r="B597" s="45">
        <f t="shared" si="39"/>
        <v>6.24</v>
      </c>
      <c r="C597">
        <v>16</v>
      </c>
      <c r="E597" s="15">
        <f t="shared" si="37"/>
        <v>4.95</v>
      </c>
      <c r="F597" s="15">
        <f t="shared" si="37"/>
        <v>1.46</v>
      </c>
      <c r="G597" s="6">
        <v>256</v>
      </c>
    </row>
    <row r="598" spans="1:7">
      <c r="A598" s="15">
        <v>75.700000000000799</v>
      </c>
      <c r="B598" s="45">
        <f t="shared" si="39"/>
        <v>6.26</v>
      </c>
      <c r="C598">
        <v>17</v>
      </c>
      <c r="E598" s="15">
        <f t="shared" ref="E598:F661" si="40">ROUND((E$821-E$341)/480*$G598+E$341,2)</f>
        <v>4.97</v>
      </c>
      <c r="F598" s="15">
        <f t="shared" si="40"/>
        <v>1.47</v>
      </c>
      <c r="G598" s="6">
        <v>257</v>
      </c>
    </row>
    <row r="599" spans="1:7">
      <c r="A599" s="15">
        <v>75.800000000000793</v>
      </c>
      <c r="B599" s="45">
        <f t="shared" si="39"/>
        <v>6.27</v>
      </c>
      <c r="C599">
        <v>18</v>
      </c>
      <c r="E599" s="15">
        <f t="shared" si="40"/>
        <v>4.9800000000000004</v>
      </c>
      <c r="F599" s="15">
        <f t="shared" si="40"/>
        <v>1.47</v>
      </c>
      <c r="G599" s="6">
        <v>258</v>
      </c>
    </row>
    <row r="600" spans="1:7">
      <c r="A600" s="15">
        <v>75.900000000000801</v>
      </c>
      <c r="B600" s="45">
        <f t="shared" si="39"/>
        <v>6.29</v>
      </c>
      <c r="C600">
        <v>19</v>
      </c>
      <c r="E600" s="15">
        <f t="shared" si="40"/>
        <v>4.99</v>
      </c>
      <c r="F600" s="15">
        <f t="shared" si="40"/>
        <v>1.47</v>
      </c>
      <c r="G600" s="6">
        <v>259</v>
      </c>
    </row>
    <row r="601" spans="1:7">
      <c r="A601" s="15">
        <v>76.000000000000796</v>
      </c>
      <c r="B601" s="45">
        <f t="shared" si="39"/>
        <v>6.3</v>
      </c>
      <c r="C601">
        <v>20</v>
      </c>
      <c r="E601" s="15">
        <f t="shared" si="40"/>
        <v>5</v>
      </c>
      <c r="F601" s="15">
        <f t="shared" si="40"/>
        <v>1.48</v>
      </c>
      <c r="G601" s="6">
        <v>260</v>
      </c>
    </row>
    <row r="602" spans="1:7">
      <c r="A602" s="15">
        <v>76.100000000000804</v>
      </c>
      <c r="B602" s="45">
        <f t="shared" si="39"/>
        <v>6.32</v>
      </c>
      <c r="C602">
        <v>21</v>
      </c>
      <c r="E602" s="15">
        <f t="shared" si="40"/>
        <v>5.01</v>
      </c>
      <c r="F602" s="15">
        <f t="shared" si="40"/>
        <v>1.48</v>
      </c>
      <c r="G602" s="6">
        <v>261</v>
      </c>
    </row>
    <row r="603" spans="1:7">
      <c r="A603" s="15">
        <v>76.200000000000799</v>
      </c>
      <c r="B603" s="45">
        <f t="shared" si="39"/>
        <v>6.33</v>
      </c>
      <c r="C603">
        <v>22</v>
      </c>
      <c r="E603" s="15">
        <f t="shared" si="40"/>
        <v>5.0199999999999996</v>
      </c>
      <c r="F603" s="15">
        <f t="shared" si="40"/>
        <v>1.48</v>
      </c>
      <c r="G603" s="6">
        <v>262</v>
      </c>
    </row>
    <row r="604" spans="1:7">
      <c r="A604" s="15">
        <v>76.300000000000793</v>
      </c>
      <c r="B604" s="45">
        <f t="shared" si="39"/>
        <v>6.35</v>
      </c>
      <c r="C604">
        <v>23</v>
      </c>
      <c r="E604" s="15">
        <f t="shared" si="40"/>
        <v>5.04</v>
      </c>
      <c r="F604" s="15">
        <f t="shared" si="40"/>
        <v>1.49</v>
      </c>
      <c r="G604" s="6">
        <v>263</v>
      </c>
    </row>
    <row r="605" spans="1:7">
      <c r="A605" s="15">
        <v>76.400000000000801</v>
      </c>
      <c r="B605" s="45">
        <f t="shared" si="39"/>
        <v>6.36</v>
      </c>
      <c r="C605">
        <v>24</v>
      </c>
      <c r="E605" s="15">
        <f t="shared" si="40"/>
        <v>5.05</v>
      </c>
      <c r="F605" s="15">
        <f t="shared" si="40"/>
        <v>1.49</v>
      </c>
      <c r="G605" s="6">
        <v>264</v>
      </c>
    </row>
    <row r="606" spans="1:7">
      <c r="A606" s="15">
        <v>76.500000000000796</v>
      </c>
      <c r="B606" s="45">
        <f t="shared" si="39"/>
        <v>6.38</v>
      </c>
      <c r="C606">
        <v>25</v>
      </c>
      <c r="E606" s="15">
        <f t="shared" si="40"/>
        <v>5.0599999999999996</v>
      </c>
      <c r="F606" s="15">
        <f t="shared" si="40"/>
        <v>1.49</v>
      </c>
      <c r="G606" s="6">
        <v>265</v>
      </c>
    </row>
    <row r="607" spans="1:7">
      <c r="A607" s="15">
        <v>76.600000000000804</v>
      </c>
      <c r="B607" s="45">
        <f t="shared" si="39"/>
        <v>6.39</v>
      </c>
      <c r="C607">
        <v>26</v>
      </c>
      <c r="E607" s="15">
        <f t="shared" si="40"/>
        <v>5.07</v>
      </c>
      <c r="F607" s="15">
        <f t="shared" si="40"/>
        <v>1.5</v>
      </c>
      <c r="G607" s="6">
        <v>266</v>
      </c>
    </row>
    <row r="608" spans="1:7">
      <c r="A608" s="15">
        <v>76.700000000000799</v>
      </c>
      <c r="B608" s="45">
        <f t="shared" si="39"/>
        <v>6.41</v>
      </c>
      <c r="C608">
        <v>27</v>
      </c>
      <c r="E608" s="15">
        <f t="shared" si="40"/>
        <v>5.08</v>
      </c>
      <c r="F608" s="15">
        <f t="shared" si="40"/>
        <v>1.5</v>
      </c>
      <c r="G608" s="6">
        <v>267</v>
      </c>
    </row>
    <row r="609" spans="1:7">
      <c r="A609" s="15">
        <v>76.800000000000793</v>
      </c>
      <c r="B609" s="45">
        <f t="shared" si="39"/>
        <v>6.42</v>
      </c>
      <c r="C609">
        <v>28</v>
      </c>
      <c r="E609" s="15">
        <f t="shared" si="40"/>
        <v>5.09</v>
      </c>
      <c r="F609" s="15">
        <f t="shared" si="40"/>
        <v>1.5</v>
      </c>
      <c r="G609" s="6">
        <v>268</v>
      </c>
    </row>
    <row r="610" spans="1:7">
      <c r="A610" s="15">
        <v>76.900000000000801</v>
      </c>
      <c r="B610" s="45">
        <f t="shared" si="39"/>
        <v>6.44</v>
      </c>
      <c r="C610">
        <v>29</v>
      </c>
      <c r="E610" s="15">
        <f t="shared" si="40"/>
        <v>5.0999999999999996</v>
      </c>
      <c r="F610" s="15">
        <f t="shared" si="40"/>
        <v>1.51</v>
      </c>
      <c r="G610" s="6">
        <v>269</v>
      </c>
    </row>
    <row r="611" spans="1:7">
      <c r="A611" s="15">
        <v>77.000000000000796</v>
      </c>
      <c r="B611" s="45">
        <f t="shared" si="39"/>
        <v>6.45</v>
      </c>
      <c r="C611">
        <v>30</v>
      </c>
      <c r="E611" s="15">
        <f t="shared" si="40"/>
        <v>5.12</v>
      </c>
      <c r="F611" s="15">
        <f t="shared" si="40"/>
        <v>1.51</v>
      </c>
      <c r="G611" s="6">
        <v>270</v>
      </c>
    </row>
    <row r="612" spans="1:7">
      <c r="A612" s="15">
        <v>77.100000000000804</v>
      </c>
      <c r="B612" s="45">
        <f t="shared" si="39"/>
        <v>6.47</v>
      </c>
      <c r="C612">
        <v>31</v>
      </c>
      <c r="E612" s="15">
        <f t="shared" si="40"/>
        <v>5.13</v>
      </c>
      <c r="F612" s="15">
        <f t="shared" si="40"/>
        <v>1.52</v>
      </c>
      <c r="G612" s="6">
        <v>271</v>
      </c>
    </row>
    <row r="613" spans="1:7">
      <c r="A613" s="15">
        <v>77.200000000000799</v>
      </c>
      <c r="B613" s="45">
        <f t="shared" si="39"/>
        <v>6.48</v>
      </c>
      <c r="C613">
        <v>32</v>
      </c>
      <c r="E613" s="15">
        <f t="shared" si="40"/>
        <v>5.14</v>
      </c>
      <c r="F613" s="15">
        <f t="shared" si="40"/>
        <v>1.52</v>
      </c>
      <c r="G613" s="6">
        <v>272</v>
      </c>
    </row>
    <row r="614" spans="1:7">
      <c r="A614" s="15">
        <v>77.300000000000793</v>
      </c>
      <c r="B614" s="45">
        <f t="shared" si="39"/>
        <v>6.5</v>
      </c>
      <c r="C614">
        <v>33</v>
      </c>
      <c r="E614" s="15">
        <f t="shared" si="40"/>
        <v>5.15</v>
      </c>
      <c r="F614" s="15">
        <f t="shared" si="40"/>
        <v>1.52</v>
      </c>
      <c r="G614" s="6">
        <v>273</v>
      </c>
    </row>
    <row r="615" spans="1:7">
      <c r="A615" s="15">
        <v>77.400000000000801</v>
      </c>
      <c r="B615" s="45">
        <f t="shared" si="39"/>
        <v>6.51</v>
      </c>
      <c r="C615">
        <v>34</v>
      </c>
      <c r="E615" s="15">
        <f t="shared" si="40"/>
        <v>5.16</v>
      </c>
      <c r="F615" s="15">
        <f t="shared" si="40"/>
        <v>1.53</v>
      </c>
      <c r="G615" s="6">
        <v>274</v>
      </c>
    </row>
    <row r="616" spans="1:7">
      <c r="A616" s="15">
        <v>77.500000000000796</v>
      </c>
      <c r="B616" s="45">
        <f t="shared" si="39"/>
        <v>6.53</v>
      </c>
      <c r="C616">
        <v>35</v>
      </c>
      <c r="E616" s="15">
        <f t="shared" si="40"/>
        <v>5.17</v>
      </c>
      <c r="F616" s="15">
        <f t="shared" si="40"/>
        <v>1.53</v>
      </c>
      <c r="G616" s="6">
        <v>275</v>
      </c>
    </row>
    <row r="617" spans="1:7">
      <c r="A617" s="15">
        <v>77.600000000000804</v>
      </c>
      <c r="B617" s="45">
        <f t="shared" si="39"/>
        <v>6.54</v>
      </c>
      <c r="C617">
        <v>36</v>
      </c>
      <c r="E617" s="15">
        <f t="shared" si="40"/>
        <v>5.19</v>
      </c>
      <c r="F617" s="15">
        <f t="shared" si="40"/>
        <v>1.53</v>
      </c>
      <c r="G617" s="6">
        <v>276</v>
      </c>
    </row>
    <row r="618" spans="1:7">
      <c r="A618" s="15">
        <v>77.700000000000799</v>
      </c>
      <c r="B618" s="45">
        <f t="shared" si="39"/>
        <v>6.56</v>
      </c>
      <c r="C618">
        <v>37</v>
      </c>
      <c r="E618" s="15">
        <f t="shared" si="40"/>
        <v>5.2</v>
      </c>
      <c r="F618" s="15">
        <f t="shared" si="40"/>
        <v>1.54</v>
      </c>
      <c r="G618" s="6">
        <v>277</v>
      </c>
    </row>
    <row r="619" spans="1:7">
      <c r="A619" s="15">
        <v>77.800000000000793</v>
      </c>
      <c r="B619" s="45">
        <f t="shared" si="39"/>
        <v>6.57</v>
      </c>
      <c r="C619">
        <v>38</v>
      </c>
      <c r="E619" s="15">
        <f t="shared" si="40"/>
        <v>5.21</v>
      </c>
      <c r="F619" s="15">
        <f t="shared" si="40"/>
        <v>1.54</v>
      </c>
      <c r="G619" s="6">
        <v>278</v>
      </c>
    </row>
    <row r="620" spans="1:7">
      <c r="A620" s="15">
        <v>77.900000000000801</v>
      </c>
      <c r="B620" s="45">
        <f t="shared" si="39"/>
        <v>6.59</v>
      </c>
      <c r="C620">
        <v>39</v>
      </c>
      <c r="E620" s="15">
        <f t="shared" si="40"/>
        <v>5.22</v>
      </c>
      <c r="F620" s="15">
        <f t="shared" si="40"/>
        <v>1.54</v>
      </c>
      <c r="G620" s="6">
        <v>279</v>
      </c>
    </row>
    <row r="621" spans="1:7">
      <c r="A621" s="17">
        <v>78.000000000000796</v>
      </c>
      <c r="B621" s="46">
        <f>'4_Anzeichnungsprotokoll'!E41</f>
        <v>6.6</v>
      </c>
      <c r="C621" s="18">
        <v>0</v>
      </c>
      <c r="E621" s="15">
        <f t="shared" si="40"/>
        <v>5.23</v>
      </c>
      <c r="F621" s="15">
        <f t="shared" si="40"/>
        <v>1.55</v>
      </c>
      <c r="G621" s="6">
        <v>280</v>
      </c>
    </row>
    <row r="622" spans="1:7">
      <c r="A622" s="15">
        <v>78.100000000000804</v>
      </c>
      <c r="B622" s="45">
        <f>ROUND(((B$661-B$621)/40*C622+B$621),2)</f>
        <v>6.62</v>
      </c>
      <c r="C622">
        <v>1</v>
      </c>
      <c r="E622" s="15">
        <f t="shared" si="40"/>
        <v>5.24</v>
      </c>
      <c r="F622" s="15">
        <f t="shared" si="40"/>
        <v>1.55</v>
      </c>
      <c r="G622" s="6">
        <v>281</v>
      </c>
    </row>
    <row r="623" spans="1:7">
      <c r="A623" s="15">
        <v>78.200000000000799</v>
      </c>
      <c r="B623" s="45">
        <f t="shared" ref="B623:B660" si="41">ROUND(((B$661-B$621)/40*C623+B$621),2)</f>
        <v>6.64</v>
      </c>
      <c r="C623">
        <v>2</v>
      </c>
      <c r="E623" s="15">
        <f t="shared" si="40"/>
        <v>5.25</v>
      </c>
      <c r="F623" s="15">
        <f t="shared" si="40"/>
        <v>1.55</v>
      </c>
      <c r="G623" s="6">
        <v>282</v>
      </c>
    </row>
    <row r="624" spans="1:7">
      <c r="A624" s="15">
        <v>78.300000000000793</v>
      </c>
      <c r="B624" s="45">
        <f t="shared" si="41"/>
        <v>6.66</v>
      </c>
      <c r="C624">
        <v>3</v>
      </c>
      <c r="E624" s="15">
        <f t="shared" si="40"/>
        <v>5.27</v>
      </c>
      <c r="F624" s="15">
        <f t="shared" si="40"/>
        <v>1.56</v>
      </c>
      <c r="G624" s="6">
        <v>283</v>
      </c>
    </row>
    <row r="625" spans="1:7">
      <c r="A625" s="15">
        <v>78.400000000000801</v>
      </c>
      <c r="B625" s="45">
        <f t="shared" si="41"/>
        <v>6.68</v>
      </c>
      <c r="C625">
        <v>4</v>
      </c>
      <c r="E625" s="15">
        <f t="shared" si="40"/>
        <v>5.28</v>
      </c>
      <c r="F625" s="15">
        <f t="shared" si="40"/>
        <v>1.56</v>
      </c>
      <c r="G625" s="6">
        <v>284</v>
      </c>
    </row>
    <row r="626" spans="1:7">
      <c r="A626" s="15">
        <v>78.500000000000796</v>
      </c>
      <c r="B626" s="45">
        <f t="shared" si="41"/>
        <v>6.7</v>
      </c>
      <c r="C626">
        <v>5</v>
      </c>
      <c r="E626" s="15">
        <f t="shared" si="40"/>
        <v>5.29</v>
      </c>
      <c r="F626" s="15">
        <f t="shared" si="40"/>
        <v>1.57</v>
      </c>
      <c r="G626" s="6">
        <v>285</v>
      </c>
    </row>
    <row r="627" spans="1:7">
      <c r="A627" s="15">
        <v>78.600000000000904</v>
      </c>
      <c r="B627" s="45">
        <f t="shared" si="41"/>
        <v>6.72</v>
      </c>
      <c r="C627">
        <v>6</v>
      </c>
      <c r="E627" s="15">
        <f t="shared" si="40"/>
        <v>5.3</v>
      </c>
      <c r="F627" s="15">
        <f t="shared" si="40"/>
        <v>1.57</v>
      </c>
      <c r="G627" s="6">
        <v>286</v>
      </c>
    </row>
    <row r="628" spans="1:7">
      <c r="A628" s="15">
        <v>78.700000000000898</v>
      </c>
      <c r="B628" s="45">
        <f t="shared" si="41"/>
        <v>6.74</v>
      </c>
      <c r="C628">
        <v>7</v>
      </c>
      <c r="E628" s="15">
        <f t="shared" si="40"/>
        <v>5.31</v>
      </c>
      <c r="F628" s="15">
        <f t="shared" si="40"/>
        <v>1.57</v>
      </c>
      <c r="G628" s="6">
        <v>287</v>
      </c>
    </row>
    <row r="629" spans="1:7">
      <c r="A629" s="15">
        <v>78.800000000000907</v>
      </c>
      <c r="B629" s="45">
        <f t="shared" si="41"/>
        <v>6.76</v>
      </c>
      <c r="C629">
        <v>8</v>
      </c>
      <c r="E629" s="15">
        <f t="shared" si="40"/>
        <v>5.32</v>
      </c>
      <c r="F629" s="15">
        <f t="shared" si="40"/>
        <v>1.58</v>
      </c>
      <c r="G629" s="6">
        <v>288</v>
      </c>
    </row>
    <row r="630" spans="1:7">
      <c r="A630" s="15">
        <v>78.900000000000901</v>
      </c>
      <c r="B630" s="45">
        <f t="shared" si="41"/>
        <v>6.78</v>
      </c>
      <c r="C630">
        <v>9</v>
      </c>
      <c r="E630" s="15">
        <f t="shared" si="40"/>
        <v>5.34</v>
      </c>
      <c r="F630" s="15">
        <f t="shared" si="40"/>
        <v>1.58</v>
      </c>
      <c r="G630" s="6">
        <v>289</v>
      </c>
    </row>
    <row r="631" spans="1:7">
      <c r="A631" s="15">
        <v>79.000000000000895</v>
      </c>
      <c r="B631" s="45">
        <f t="shared" si="41"/>
        <v>6.8</v>
      </c>
      <c r="C631">
        <v>10</v>
      </c>
      <c r="E631" s="15">
        <f t="shared" si="40"/>
        <v>5.35</v>
      </c>
      <c r="F631" s="15">
        <f t="shared" si="40"/>
        <v>1.58</v>
      </c>
      <c r="G631" s="6">
        <v>290</v>
      </c>
    </row>
    <row r="632" spans="1:7">
      <c r="A632" s="15">
        <v>79.100000000000904</v>
      </c>
      <c r="B632" s="45">
        <f t="shared" si="41"/>
        <v>6.82</v>
      </c>
      <c r="C632">
        <v>11</v>
      </c>
      <c r="E632" s="15">
        <f t="shared" si="40"/>
        <v>5.36</v>
      </c>
      <c r="F632" s="15">
        <f t="shared" si="40"/>
        <v>1.59</v>
      </c>
      <c r="G632" s="6">
        <v>291</v>
      </c>
    </row>
    <row r="633" spans="1:7">
      <c r="A633" s="15">
        <v>79.200000000000898</v>
      </c>
      <c r="B633" s="45">
        <f t="shared" si="41"/>
        <v>6.84</v>
      </c>
      <c r="C633">
        <v>12</v>
      </c>
      <c r="E633" s="15">
        <f t="shared" si="40"/>
        <v>5.37</v>
      </c>
      <c r="F633" s="15">
        <f t="shared" si="40"/>
        <v>1.59</v>
      </c>
      <c r="G633" s="6">
        <v>292</v>
      </c>
    </row>
    <row r="634" spans="1:7">
      <c r="A634" s="15">
        <v>79.300000000000907</v>
      </c>
      <c r="B634" s="45">
        <f t="shared" si="41"/>
        <v>6.86</v>
      </c>
      <c r="C634">
        <v>13</v>
      </c>
      <c r="E634" s="15">
        <f t="shared" si="40"/>
        <v>5.38</v>
      </c>
      <c r="F634" s="15">
        <f t="shared" si="40"/>
        <v>1.59</v>
      </c>
      <c r="G634" s="6">
        <v>293</v>
      </c>
    </row>
    <row r="635" spans="1:7">
      <c r="A635" s="15">
        <v>79.400000000000901</v>
      </c>
      <c r="B635" s="45">
        <f t="shared" si="41"/>
        <v>6.88</v>
      </c>
      <c r="C635">
        <v>14</v>
      </c>
      <c r="E635" s="15">
        <f t="shared" si="40"/>
        <v>5.39</v>
      </c>
      <c r="F635" s="15">
        <f t="shared" si="40"/>
        <v>1.6</v>
      </c>
      <c r="G635" s="6">
        <v>294</v>
      </c>
    </row>
    <row r="636" spans="1:7">
      <c r="A636" s="15">
        <v>79.500000000000895</v>
      </c>
      <c r="B636" s="45">
        <f t="shared" si="41"/>
        <v>6.9</v>
      </c>
      <c r="C636">
        <v>15</v>
      </c>
      <c r="E636" s="15">
        <f t="shared" si="40"/>
        <v>5.4</v>
      </c>
      <c r="F636" s="15">
        <f t="shared" si="40"/>
        <v>1.6</v>
      </c>
      <c r="G636" s="6">
        <v>295</v>
      </c>
    </row>
    <row r="637" spans="1:7">
      <c r="A637" s="15">
        <v>79.600000000000904</v>
      </c>
      <c r="B637" s="45">
        <f t="shared" si="41"/>
        <v>6.92</v>
      </c>
      <c r="C637">
        <v>16</v>
      </c>
      <c r="E637" s="15">
        <f t="shared" si="40"/>
        <v>5.42</v>
      </c>
      <c r="F637" s="15">
        <f t="shared" si="40"/>
        <v>1.6</v>
      </c>
      <c r="G637" s="6">
        <v>296</v>
      </c>
    </row>
    <row r="638" spans="1:7">
      <c r="A638" s="15">
        <v>79.700000000000898</v>
      </c>
      <c r="B638" s="45">
        <f t="shared" si="41"/>
        <v>6.94</v>
      </c>
      <c r="C638">
        <v>17</v>
      </c>
      <c r="E638" s="15">
        <f t="shared" si="40"/>
        <v>5.43</v>
      </c>
      <c r="F638" s="15">
        <f t="shared" si="40"/>
        <v>1.61</v>
      </c>
      <c r="G638" s="6">
        <v>297</v>
      </c>
    </row>
    <row r="639" spans="1:7">
      <c r="A639" s="15">
        <v>79.800000000000907</v>
      </c>
      <c r="B639" s="45">
        <f t="shared" si="41"/>
        <v>6.96</v>
      </c>
      <c r="C639">
        <v>18</v>
      </c>
      <c r="E639" s="15">
        <f t="shared" si="40"/>
        <v>5.44</v>
      </c>
      <c r="F639" s="15">
        <f t="shared" si="40"/>
        <v>1.61</v>
      </c>
      <c r="G639" s="6">
        <v>298</v>
      </c>
    </row>
    <row r="640" spans="1:7">
      <c r="A640" s="15">
        <v>79.900000000000901</v>
      </c>
      <c r="B640" s="45">
        <f t="shared" si="41"/>
        <v>6.98</v>
      </c>
      <c r="C640">
        <v>19</v>
      </c>
      <c r="E640" s="15">
        <f t="shared" si="40"/>
        <v>5.45</v>
      </c>
      <c r="F640" s="15">
        <f t="shared" si="40"/>
        <v>1.62</v>
      </c>
      <c r="G640" s="6">
        <v>299</v>
      </c>
    </row>
    <row r="641" spans="1:7">
      <c r="A641" s="15">
        <v>80.000000000000895</v>
      </c>
      <c r="B641" s="45">
        <f t="shared" si="41"/>
        <v>7</v>
      </c>
      <c r="C641">
        <v>20</v>
      </c>
      <c r="E641" s="15">
        <f t="shared" si="40"/>
        <v>5.46</v>
      </c>
      <c r="F641" s="15">
        <f t="shared" si="40"/>
        <v>1.62</v>
      </c>
      <c r="G641" s="6">
        <v>300</v>
      </c>
    </row>
    <row r="642" spans="1:7">
      <c r="A642" s="15">
        <v>80.100000000000904</v>
      </c>
      <c r="B642" s="45">
        <f t="shared" si="41"/>
        <v>7.02</v>
      </c>
      <c r="C642">
        <v>21</v>
      </c>
      <c r="E642" s="15">
        <f t="shared" si="40"/>
        <v>5.47</v>
      </c>
      <c r="F642" s="15">
        <f t="shared" si="40"/>
        <v>1.62</v>
      </c>
      <c r="G642" s="6">
        <v>301</v>
      </c>
    </row>
    <row r="643" spans="1:7">
      <c r="A643" s="15">
        <v>80.200000000000898</v>
      </c>
      <c r="B643" s="45">
        <f t="shared" si="41"/>
        <v>7.04</v>
      </c>
      <c r="C643">
        <v>22</v>
      </c>
      <c r="E643" s="15">
        <f t="shared" si="40"/>
        <v>5.49</v>
      </c>
      <c r="F643" s="15">
        <f t="shared" si="40"/>
        <v>1.63</v>
      </c>
      <c r="G643" s="6">
        <v>302</v>
      </c>
    </row>
    <row r="644" spans="1:7">
      <c r="A644" s="15">
        <v>80.300000000000907</v>
      </c>
      <c r="B644" s="45">
        <f t="shared" si="41"/>
        <v>7.06</v>
      </c>
      <c r="C644">
        <v>23</v>
      </c>
      <c r="E644" s="15">
        <f t="shared" si="40"/>
        <v>5.5</v>
      </c>
      <c r="F644" s="15">
        <f t="shared" si="40"/>
        <v>1.63</v>
      </c>
      <c r="G644" s="6">
        <v>303</v>
      </c>
    </row>
    <row r="645" spans="1:7">
      <c r="A645" s="15">
        <v>80.400000000000901</v>
      </c>
      <c r="B645" s="45">
        <f t="shared" si="41"/>
        <v>7.08</v>
      </c>
      <c r="C645">
        <v>24</v>
      </c>
      <c r="E645" s="15">
        <f t="shared" si="40"/>
        <v>5.51</v>
      </c>
      <c r="F645" s="15">
        <f t="shared" si="40"/>
        <v>1.63</v>
      </c>
      <c r="G645" s="6">
        <v>304</v>
      </c>
    </row>
    <row r="646" spans="1:7">
      <c r="A646" s="15">
        <v>80.500000000000895</v>
      </c>
      <c r="B646" s="45">
        <f t="shared" si="41"/>
        <v>7.1</v>
      </c>
      <c r="C646">
        <v>25</v>
      </c>
      <c r="E646" s="15">
        <f t="shared" si="40"/>
        <v>5.52</v>
      </c>
      <c r="F646" s="15">
        <f t="shared" si="40"/>
        <v>1.64</v>
      </c>
      <c r="G646" s="6">
        <v>305</v>
      </c>
    </row>
    <row r="647" spans="1:7">
      <c r="A647" s="15">
        <v>80.600000000000904</v>
      </c>
      <c r="B647" s="45">
        <f t="shared" si="41"/>
        <v>7.12</v>
      </c>
      <c r="C647">
        <v>26</v>
      </c>
      <c r="E647" s="15">
        <f t="shared" si="40"/>
        <v>5.53</v>
      </c>
      <c r="F647" s="15">
        <f t="shared" si="40"/>
        <v>1.64</v>
      </c>
      <c r="G647" s="6">
        <v>306</v>
      </c>
    </row>
    <row r="648" spans="1:7">
      <c r="A648" s="15">
        <v>80.700000000000898</v>
      </c>
      <c r="B648" s="45">
        <f t="shared" si="41"/>
        <v>7.14</v>
      </c>
      <c r="C648">
        <v>27</v>
      </c>
      <c r="E648" s="15">
        <f t="shared" si="40"/>
        <v>5.54</v>
      </c>
      <c r="F648" s="15">
        <f t="shared" si="40"/>
        <v>1.64</v>
      </c>
      <c r="G648" s="6">
        <v>307</v>
      </c>
    </row>
    <row r="649" spans="1:7">
      <c r="A649" s="15">
        <v>80.800000000000907</v>
      </c>
      <c r="B649" s="45">
        <f t="shared" si="41"/>
        <v>7.16</v>
      </c>
      <c r="C649">
        <v>28</v>
      </c>
      <c r="E649" s="15">
        <f t="shared" si="40"/>
        <v>5.55</v>
      </c>
      <c r="F649" s="15">
        <f t="shared" si="40"/>
        <v>1.65</v>
      </c>
      <c r="G649" s="6">
        <v>308</v>
      </c>
    </row>
    <row r="650" spans="1:7">
      <c r="A650" s="15">
        <v>80.900000000000901</v>
      </c>
      <c r="B650" s="45">
        <f t="shared" si="41"/>
        <v>7.18</v>
      </c>
      <c r="C650">
        <v>29</v>
      </c>
      <c r="E650" s="15">
        <f t="shared" si="40"/>
        <v>5.57</v>
      </c>
      <c r="F650" s="15">
        <f t="shared" si="40"/>
        <v>1.65</v>
      </c>
      <c r="G650" s="6">
        <v>309</v>
      </c>
    </row>
    <row r="651" spans="1:7">
      <c r="A651" s="15">
        <v>81.000000000000895</v>
      </c>
      <c r="B651" s="45">
        <f t="shared" si="41"/>
        <v>7.2</v>
      </c>
      <c r="C651">
        <v>30</v>
      </c>
      <c r="E651" s="15">
        <f t="shared" si="40"/>
        <v>5.58</v>
      </c>
      <c r="F651" s="15">
        <f t="shared" si="40"/>
        <v>1.65</v>
      </c>
      <c r="G651" s="6">
        <v>310</v>
      </c>
    </row>
    <row r="652" spans="1:7">
      <c r="A652" s="15">
        <v>81.100000000000904</v>
      </c>
      <c r="B652" s="45">
        <f t="shared" si="41"/>
        <v>7.22</v>
      </c>
      <c r="C652">
        <v>31</v>
      </c>
      <c r="E652" s="15">
        <f t="shared" si="40"/>
        <v>5.59</v>
      </c>
      <c r="F652" s="15">
        <f t="shared" si="40"/>
        <v>1.66</v>
      </c>
      <c r="G652" s="6">
        <v>311</v>
      </c>
    </row>
    <row r="653" spans="1:7">
      <c r="A653" s="15">
        <v>81.200000000000898</v>
      </c>
      <c r="B653" s="45">
        <f t="shared" si="41"/>
        <v>7.24</v>
      </c>
      <c r="C653">
        <v>32</v>
      </c>
      <c r="E653" s="15">
        <f t="shared" si="40"/>
        <v>5.6</v>
      </c>
      <c r="F653" s="15">
        <f t="shared" si="40"/>
        <v>1.66</v>
      </c>
      <c r="G653" s="6">
        <v>312</v>
      </c>
    </row>
    <row r="654" spans="1:7">
      <c r="A654" s="15">
        <v>81.300000000000907</v>
      </c>
      <c r="B654" s="45">
        <f t="shared" si="41"/>
        <v>7.26</v>
      </c>
      <c r="C654">
        <v>33</v>
      </c>
      <c r="E654" s="15">
        <f t="shared" si="40"/>
        <v>5.61</v>
      </c>
      <c r="F654" s="15">
        <f t="shared" si="40"/>
        <v>1.67</v>
      </c>
      <c r="G654" s="6">
        <v>313</v>
      </c>
    </row>
    <row r="655" spans="1:7">
      <c r="A655" s="15">
        <v>81.400000000000901</v>
      </c>
      <c r="B655" s="45">
        <f t="shared" si="41"/>
        <v>7.28</v>
      </c>
      <c r="C655">
        <v>34</v>
      </c>
      <c r="E655" s="15">
        <f t="shared" si="40"/>
        <v>5.62</v>
      </c>
      <c r="F655" s="15">
        <f t="shared" si="40"/>
        <v>1.67</v>
      </c>
      <c r="G655" s="6">
        <v>314</v>
      </c>
    </row>
    <row r="656" spans="1:7">
      <c r="A656" s="15">
        <v>81.500000000000895</v>
      </c>
      <c r="B656" s="45">
        <f t="shared" si="41"/>
        <v>7.3</v>
      </c>
      <c r="C656">
        <v>35</v>
      </c>
      <c r="E656" s="15">
        <f t="shared" si="40"/>
        <v>5.64</v>
      </c>
      <c r="F656" s="15">
        <f t="shared" si="40"/>
        <v>1.67</v>
      </c>
      <c r="G656" s="6">
        <v>315</v>
      </c>
    </row>
    <row r="657" spans="1:7">
      <c r="A657" s="15">
        <v>81.600000000000904</v>
      </c>
      <c r="B657" s="45">
        <f t="shared" si="41"/>
        <v>7.32</v>
      </c>
      <c r="C657">
        <v>36</v>
      </c>
      <c r="E657" s="15">
        <f t="shared" si="40"/>
        <v>5.65</v>
      </c>
      <c r="F657" s="15">
        <f t="shared" si="40"/>
        <v>1.68</v>
      </c>
      <c r="G657" s="6">
        <v>316</v>
      </c>
    </row>
    <row r="658" spans="1:7">
      <c r="A658" s="15">
        <v>81.700000000000898</v>
      </c>
      <c r="B658" s="45">
        <f t="shared" si="41"/>
        <v>7.34</v>
      </c>
      <c r="C658">
        <v>37</v>
      </c>
      <c r="E658" s="15">
        <f t="shared" si="40"/>
        <v>5.66</v>
      </c>
      <c r="F658" s="15">
        <f t="shared" si="40"/>
        <v>1.68</v>
      </c>
      <c r="G658" s="6">
        <v>317</v>
      </c>
    </row>
    <row r="659" spans="1:7">
      <c r="A659" s="15">
        <v>81.800000000000907</v>
      </c>
      <c r="B659" s="45">
        <f t="shared" si="41"/>
        <v>7.36</v>
      </c>
      <c r="C659">
        <v>38</v>
      </c>
      <c r="E659" s="15">
        <f t="shared" si="40"/>
        <v>5.67</v>
      </c>
      <c r="F659" s="15">
        <f t="shared" si="40"/>
        <v>1.68</v>
      </c>
      <c r="G659" s="6">
        <v>318</v>
      </c>
    </row>
    <row r="660" spans="1:7">
      <c r="A660" s="15">
        <v>81.900000000000901</v>
      </c>
      <c r="B660" s="45">
        <f t="shared" si="41"/>
        <v>7.38</v>
      </c>
      <c r="C660">
        <v>39</v>
      </c>
      <c r="E660" s="15">
        <f t="shared" si="40"/>
        <v>5.68</v>
      </c>
      <c r="F660" s="15">
        <f t="shared" si="40"/>
        <v>1.69</v>
      </c>
      <c r="G660" s="6">
        <v>319</v>
      </c>
    </row>
    <row r="661" spans="1:7">
      <c r="A661" s="17">
        <v>82.000000000000895</v>
      </c>
      <c r="B661" s="46">
        <f>'4_Anzeichnungsprotokoll'!E42</f>
        <v>7.4</v>
      </c>
      <c r="C661" s="18">
        <v>0</v>
      </c>
      <c r="E661" s="15">
        <f t="shared" si="40"/>
        <v>5.69</v>
      </c>
      <c r="F661" s="15">
        <f t="shared" si="40"/>
        <v>1.69</v>
      </c>
      <c r="G661" s="6">
        <v>320</v>
      </c>
    </row>
    <row r="662" spans="1:7">
      <c r="A662" s="15">
        <v>82.100000000000904</v>
      </c>
      <c r="B662" s="45">
        <f>ROUND(((B$701-B$661)/40*C662+B$661),2)</f>
        <v>7.42</v>
      </c>
      <c r="C662">
        <v>1</v>
      </c>
      <c r="E662" s="15">
        <f t="shared" ref="E662:F693" si="42">ROUND((E$821-E$341)/480*$G662+E$341,2)</f>
        <v>5.7</v>
      </c>
      <c r="F662" s="15">
        <f t="shared" si="42"/>
        <v>1.69</v>
      </c>
      <c r="G662" s="6">
        <v>321</v>
      </c>
    </row>
    <row r="663" spans="1:7">
      <c r="A663" s="15">
        <v>82.200000000000898</v>
      </c>
      <c r="B663" s="45">
        <f t="shared" ref="B663:B700" si="43">ROUND(((B$701-B$661)/40*C663+B$661),2)</f>
        <v>7.44</v>
      </c>
      <c r="C663">
        <v>2</v>
      </c>
      <c r="E663" s="15">
        <f t="shared" si="42"/>
        <v>5.72</v>
      </c>
      <c r="F663" s="15">
        <f t="shared" si="42"/>
        <v>1.7</v>
      </c>
      <c r="G663" s="6">
        <v>322</v>
      </c>
    </row>
    <row r="664" spans="1:7">
      <c r="A664" s="15">
        <v>82.300000000000907</v>
      </c>
      <c r="B664" s="45">
        <f t="shared" si="43"/>
        <v>7.46</v>
      </c>
      <c r="C664">
        <v>3</v>
      </c>
      <c r="E664" s="15">
        <f t="shared" si="42"/>
        <v>5.73</v>
      </c>
      <c r="F664" s="15">
        <f t="shared" si="42"/>
        <v>1.7</v>
      </c>
      <c r="G664" s="6">
        <v>323</v>
      </c>
    </row>
    <row r="665" spans="1:7">
      <c r="A665" s="15">
        <v>82.400000000000901</v>
      </c>
      <c r="B665" s="45">
        <f t="shared" si="43"/>
        <v>7.48</v>
      </c>
      <c r="C665">
        <v>4</v>
      </c>
      <c r="E665" s="15">
        <f t="shared" si="42"/>
        <v>5.74</v>
      </c>
      <c r="F665" s="15">
        <f t="shared" si="42"/>
        <v>1.7</v>
      </c>
      <c r="G665" s="6">
        <v>324</v>
      </c>
    </row>
    <row r="666" spans="1:7">
      <c r="A666" s="15">
        <v>82.500000000000895</v>
      </c>
      <c r="B666" s="45">
        <f t="shared" si="43"/>
        <v>7.5</v>
      </c>
      <c r="C666">
        <v>5</v>
      </c>
      <c r="E666" s="15">
        <f t="shared" si="42"/>
        <v>5.75</v>
      </c>
      <c r="F666" s="15">
        <f t="shared" si="42"/>
        <v>1.71</v>
      </c>
      <c r="G666" s="6">
        <v>325</v>
      </c>
    </row>
    <row r="667" spans="1:7">
      <c r="A667" s="15">
        <v>82.600000000000904</v>
      </c>
      <c r="B667" s="45">
        <f t="shared" si="43"/>
        <v>7.52</v>
      </c>
      <c r="C667">
        <v>6</v>
      </c>
      <c r="E667" s="15">
        <f t="shared" si="42"/>
        <v>5.76</v>
      </c>
      <c r="F667" s="15">
        <f t="shared" si="42"/>
        <v>1.71</v>
      </c>
      <c r="G667" s="6">
        <v>326</v>
      </c>
    </row>
    <row r="668" spans="1:7">
      <c r="A668" s="15">
        <v>82.700000000000898</v>
      </c>
      <c r="B668" s="45">
        <f t="shared" si="43"/>
        <v>7.54</v>
      </c>
      <c r="C668">
        <v>7</v>
      </c>
      <c r="E668" s="15">
        <f t="shared" si="42"/>
        <v>5.77</v>
      </c>
      <c r="F668" s="15">
        <f t="shared" si="42"/>
        <v>1.71</v>
      </c>
      <c r="G668" s="6">
        <v>327</v>
      </c>
    </row>
    <row r="669" spans="1:7">
      <c r="A669" s="15">
        <v>82.800000000000907</v>
      </c>
      <c r="B669" s="45">
        <f t="shared" si="43"/>
        <v>7.56</v>
      </c>
      <c r="C669">
        <v>8</v>
      </c>
      <c r="E669" s="15">
        <f t="shared" si="42"/>
        <v>5.79</v>
      </c>
      <c r="F669" s="15">
        <f t="shared" si="42"/>
        <v>1.72</v>
      </c>
      <c r="G669" s="6">
        <v>328</v>
      </c>
    </row>
    <row r="670" spans="1:7">
      <c r="A670" s="15">
        <v>82.900000000000901</v>
      </c>
      <c r="B670" s="45">
        <f t="shared" si="43"/>
        <v>7.58</v>
      </c>
      <c r="C670">
        <v>9</v>
      </c>
      <c r="E670" s="15">
        <f t="shared" si="42"/>
        <v>5.8</v>
      </c>
      <c r="F670" s="15">
        <f t="shared" si="42"/>
        <v>1.72</v>
      </c>
      <c r="G670" s="6">
        <v>329</v>
      </c>
    </row>
    <row r="671" spans="1:7">
      <c r="A671" s="15">
        <v>83.000000000000895</v>
      </c>
      <c r="B671" s="45">
        <f t="shared" si="43"/>
        <v>7.6</v>
      </c>
      <c r="C671">
        <v>10</v>
      </c>
      <c r="E671" s="15">
        <f t="shared" si="42"/>
        <v>5.81</v>
      </c>
      <c r="F671" s="15">
        <f t="shared" si="42"/>
        <v>1.73</v>
      </c>
      <c r="G671" s="6">
        <v>330</v>
      </c>
    </row>
    <row r="672" spans="1:7">
      <c r="A672" s="15">
        <v>83.100000000000904</v>
      </c>
      <c r="B672" s="45">
        <f t="shared" si="43"/>
        <v>7.62</v>
      </c>
      <c r="C672">
        <v>11</v>
      </c>
      <c r="E672" s="15">
        <f t="shared" si="42"/>
        <v>5.82</v>
      </c>
      <c r="F672" s="15">
        <f t="shared" si="42"/>
        <v>1.73</v>
      </c>
      <c r="G672" s="6">
        <v>331</v>
      </c>
    </row>
    <row r="673" spans="1:7">
      <c r="A673" s="15">
        <v>83.200000000000898</v>
      </c>
      <c r="B673" s="45">
        <f t="shared" si="43"/>
        <v>7.64</v>
      </c>
      <c r="C673">
        <v>12</v>
      </c>
      <c r="E673" s="15">
        <f t="shared" si="42"/>
        <v>5.83</v>
      </c>
      <c r="F673" s="15">
        <f t="shared" si="42"/>
        <v>1.73</v>
      </c>
      <c r="G673" s="6">
        <v>332</v>
      </c>
    </row>
    <row r="674" spans="1:7">
      <c r="A674" s="15">
        <v>83.300000000000907</v>
      </c>
      <c r="B674" s="45">
        <f t="shared" si="43"/>
        <v>7.66</v>
      </c>
      <c r="C674">
        <v>13</v>
      </c>
      <c r="E674" s="15">
        <f t="shared" si="42"/>
        <v>5.84</v>
      </c>
      <c r="F674" s="15">
        <f t="shared" si="42"/>
        <v>1.74</v>
      </c>
      <c r="G674" s="6">
        <v>333</v>
      </c>
    </row>
    <row r="675" spans="1:7">
      <c r="A675" s="15">
        <v>83.400000000000901</v>
      </c>
      <c r="B675" s="45">
        <f t="shared" si="43"/>
        <v>7.68</v>
      </c>
      <c r="C675">
        <v>14</v>
      </c>
      <c r="E675" s="15">
        <f t="shared" si="42"/>
        <v>5.85</v>
      </c>
      <c r="F675" s="15">
        <f t="shared" si="42"/>
        <v>1.74</v>
      </c>
      <c r="G675" s="6">
        <v>334</v>
      </c>
    </row>
    <row r="676" spans="1:7">
      <c r="A676" s="15">
        <v>83.500000000000895</v>
      </c>
      <c r="B676" s="45">
        <f t="shared" si="43"/>
        <v>7.7</v>
      </c>
      <c r="C676">
        <v>15</v>
      </c>
      <c r="E676" s="15">
        <f t="shared" si="42"/>
        <v>5.87</v>
      </c>
      <c r="F676" s="15">
        <f t="shared" si="42"/>
        <v>1.74</v>
      </c>
      <c r="G676" s="6">
        <v>335</v>
      </c>
    </row>
    <row r="677" spans="1:7">
      <c r="A677" s="15">
        <v>83.600000000000904</v>
      </c>
      <c r="B677" s="45">
        <f t="shared" si="43"/>
        <v>7.72</v>
      </c>
      <c r="C677">
        <v>16</v>
      </c>
      <c r="E677" s="15">
        <f t="shared" si="42"/>
        <v>5.88</v>
      </c>
      <c r="F677" s="15">
        <f t="shared" si="42"/>
        <v>1.75</v>
      </c>
      <c r="G677" s="6">
        <v>336</v>
      </c>
    </row>
    <row r="678" spans="1:7">
      <c r="A678" s="15">
        <v>83.700000000000898</v>
      </c>
      <c r="B678" s="45">
        <f t="shared" si="43"/>
        <v>7.74</v>
      </c>
      <c r="C678">
        <v>17</v>
      </c>
      <c r="E678" s="15">
        <f t="shared" si="42"/>
        <v>5.89</v>
      </c>
      <c r="F678" s="15">
        <f t="shared" si="42"/>
        <v>1.75</v>
      </c>
      <c r="G678" s="6">
        <v>337</v>
      </c>
    </row>
    <row r="679" spans="1:7">
      <c r="A679" s="15">
        <v>83.800000000000907</v>
      </c>
      <c r="B679" s="45">
        <f t="shared" si="43"/>
        <v>7.76</v>
      </c>
      <c r="C679">
        <v>18</v>
      </c>
      <c r="E679" s="15">
        <f t="shared" si="42"/>
        <v>5.9</v>
      </c>
      <c r="F679" s="15">
        <f t="shared" si="42"/>
        <v>1.75</v>
      </c>
      <c r="G679" s="6">
        <v>338</v>
      </c>
    </row>
    <row r="680" spans="1:7">
      <c r="A680" s="15">
        <v>83.900000000000901</v>
      </c>
      <c r="B680" s="45">
        <f t="shared" si="43"/>
        <v>7.78</v>
      </c>
      <c r="C680">
        <v>19</v>
      </c>
      <c r="E680" s="15">
        <f t="shared" si="42"/>
        <v>5.91</v>
      </c>
      <c r="F680" s="15">
        <f t="shared" si="42"/>
        <v>1.76</v>
      </c>
      <c r="G680" s="6">
        <v>339</v>
      </c>
    </row>
    <row r="681" spans="1:7">
      <c r="A681" s="15">
        <v>84.000000000000895</v>
      </c>
      <c r="B681" s="45">
        <f t="shared" si="43"/>
        <v>7.8</v>
      </c>
      <c r="C681">
        <v>20</v>
      </c>
      <c r="E681" s="15">
        <f t="shared" si="42"/>
        <v>5.92</v>
      </c>
      <c r="F681" s="15">
        <f t="shared" si="42"/>
        <v>1.76</v>
      </c>
      <c r="G681" s="6">
        <v>340</v>
      </c>
    </row>
    <row r="682" spans="1:7">
      <c r="A682" s="15">
        <v>84.100000000000904</v>
      </c>
      <c r="B682" s="45">
        <f t="shared" si="43"/>
        <v>7.82</v>
      </c>
      <c r="C682">
        <v>21</v>
      </c>
      <c r="E682" s="15">
        <f t="shared" si="42"/>
        <v>5.94</v>
      </c>
      <c r="F682" s="15">
        <f t="shared" si="42"/>
        <v>1.76</v>
      </c>
      <c r="G682" s="6">
        <v>341</v>
      </c>
    </row>
    <row r="683" spans="1:7">
      <c r="A683" s="15">
        <v>84.200000000000898</v>
      </c>
      <c r="B683" s="45">
        <f t="shared" si="43"/>
        <v>7.84</v>
      </c>
      <c r="C683">
        <v>22</v>
      </c>
      <c r="E683" s="15">
        <f t="shared" si="42"/>
        <v>5.95</v>
      </c>
      <c r="F683" s="15">
        <f t="shared" si="42"/>
        <v>1.77</v>
      </c>
      <c r="G683" s="6">
        <v>342</v>
      </c>
    </row>
    <row r="684" spans="1:7">
      <c r="A684" s="15">
        <v>84.300000000000907</v>
      </c>
      <c r="B684" s="45">
        <f t="shared" si="43"/>
        <v>7.86</v>
      </c>
      <c r="C684">
        <v>23</v>
      </c>
      <c r="E684" s="15">
        <f t="shared" si="42"/>
        <v>5.96</v>
      </c>
      <c r="F684" s="15">
        <f t="shared" si="42"/>
        <v>1.77</v>
      </c>
      <c r="G684" s="6">
        <v>343</v>
      </c>
    </row>
    <row r="685" spans="1:7">
      <c r="A685" s="15">
        <v>84.400000000000901</v>
      </c>
      <c r="B685" s="45">
        <f t="shared" si="43"/>
        <v>7.88</v>
      </c>
      <c r="C685">
        <v>24</v>
      </c>
      <c r="E685" s="15">
        <f t="shared" si="42"/>
        <v>5.97</v>
      </c>
      <c r="F685" s="15">
        <f t="shared" si="42"/>
        <v>1.78</v>
      </c>
      <c r="G685" s="6">
        <v>344</v>
      </c>
    </row>
    <row r="686" spans="1:7">
      <c r="A686" s="15">
        <v>84.500000000000895</v>
      </c>
      <c r="B686" s="45">
        <f t="shared" si="43"/>
        <v>7.9</v>
      </c>
      <c r="C686">
        <v>25</v>
      </c>
      <c r="E686" s="15">
        <f t="shared" si="42"/>
        <v>5.98</v>
      </c>
      <c r="F686" s="15">
        <f t="shared" si="42"/>
        <v>1.78</v>
      </c>
      <c r="G686" s="6">
        <v>345</v>
      </c>
    </row>
    <row r="687" spans="1:7">
      <c r="A687" s="15">
        <v>84.600000000000904</v>
      </c>
      <c r="B687" s="45">
        <f t="shared" si="43"/>
        <v>7.92</v>
      </c>
      <c r="C687">
        <v>26</v>
      </c>
      <c r="E687" s="15">
        <f t="shared" si="42"/>
        <v>5.99</v>
      </c>
      <c r="F687" s="15">
        <f t="shared" si="42"/>
        <v>1.78</v>
      </c>
      <c r="G687" s="6">
        <v>346</v>
      </c>
    </row>
    <row r="688" spans="1:7">
      <c r="A688" s="15">
        <v>84.700000000000898</v>
      </c>
      <c r="B688" s="45">
        <f t="shared" si="43"/>
        <v>7.94</v>
      </c>
      <c r="C688">
        <v>27</v>
      </c>
      <c r="E688" s="15">
        <f t="shared" si="42"/>
        <v>6</v>
      </c>
      <c r="F688" s="15">
        <f t="shared" si="42"/>
        <v>1.79</v>
      </c>
      <c r="G688" s="6">
        <v>347</v>
      </c>
    </row>
    <row r="689" spans="1:7">
      <c r="A689" s="15">
        <v>84.800000000000907</v>
      </c>
      <c r="B689" s="45">
        <f t="shared" si="43"/>
        <v>7.96</v>
      </c>
      <c r="C689">
        <v>28</v>
      </c>
      <c r="E689" s="15">
        <f t="shared" si="42"/>
        <v>6.02</v>
      </c>
      <c r="F689" s="15">
        <f t="shared" si="42"/>
        <v>1.79</v>
      </c>
      <c r="G689" s="6">
        <v>348</v>
      </c>
    </row>
    <row r="690" spans="1:7">
      <c r="A690" s="15">
        <v>84.900000000000901</v>
      </c>
      <c r="B690" s="45">
        <f t="shared" si="43"/>
        <v>7.98</v>
      </c>
      <c r="C690">
        <v>29</v>
      </c>
      <c r="E690" s="15">
        <f t="shared" si="42"/>
        <v>6.03</v>
      </c>
      <c r="F690" s="15">
        <f t="shared" si="42"/>
        <v>1.79</v>
      </c>
      <c r="G690" s="6">
        <v>349</v>
      </c>
    </row>
    <row r="691" spans="1:7">
      <c r="A691" s="15">
        <v>85.000000000000895</v>
      </c>
      <c r="B691" s="45">
        <f t="shared" si="43"/>
        <v>8</v>
      </c>
      <c r="C691">
        <v>30</v>
      </c>
      <c r="E691" s="15">
        <f t="shared" si="42"/>
        <v>6.04</v>
      </c>
      <c r="F691" s="15">
        <f t="shared" si="42"/>
        <v>1.8</v>
      </c>
      <c r="G691" s="6">
        <v>350</v>
      </c>
    </row>
    <row r="692" spans="1:7">
      <c r="A692" s="15">
        <v>85.100000000000904</v>
      </c>
      <c r="B692" s="45">
        <f t="shared" si="43"/>
        <v>8.02</v>
      </c>
      <c r="C692">
        <v>31</v>
      </c>
      <c r="E692" s="15">
        <f t="shared" si="42"/>
        <v>6.05</v>
      </c>
      <c r="F692" s="15">
        <f t="shared" si="42"/>
        <v>1.8</v>
      </c>
      <c r="G692" s="6">
        <v>351</v>
      </c>
    </row>
    <row r="693" spans="1:7">
      <c r="A693" s="15">
        <v>85.200000000000898</v>
      </c>
      <c r="B693" s="45">
        <f t="shared" si="43"/>
        <v>8.0399999999999991</v>
      </c>
      <c r="C693">
        <v>32</v>
      </c>
      <c r="E693" s="15">
        <f t="shared" si="42"/>
        <v>6.06</v>
      </c>
      <c r="F693" s="15">
        <f t="shared" si="42"/>
        <v>1.8</v>
      </c>
      <c r="G693" s="6">
        <v>352</v>
      </c>
    </row>
    <row r="694" spans="1:7">
      <c r="A694" s="15">
        <v>85.300000000000907</v>
      </c>
      <c r="B694" s="45">
        <f t="shared" si="43"/>
        <v>8.06</v>
      </c>
      <c r="C694">
        <v>33</v>
      </c>
      <c r="E694" s="15">
        <f t="shared" ref="E694:F725" si="44">ROUND((E$821-E$341)/480*$G694+E$341,2)</f>
        <v>6.07</v>
      </c>
      <c r="F694" s="15">
        <f t="shared" si="44"/>
        <v>1.81</v>
      </c>
      <c r="G694" s="6">
        <v>353</v>
      </c>
    </row>
    <row r="695" spans="1:7">
      <c r="A695" s="15">
        <v>85.400000000001</v>
      </c>
      <c r="B695" s="45">
        <f t="shared" si="43"/>
        <v>8.08</v>
      </c>
      <c r="C695">
        <v>34</v>
      </c>
      <c r="E695" s="15">
        <f t="shared" si="44"/>
        <v>6.09</v>
      </c>
      <c r="F695" s="15">
        <f t="shared" si="44"/>
        <v>1.81</v>
      </c>
      <c r="G695" s="6">
        <v>354</v>
      </c>
    </row>
    <row r="696" spans="1:7">
      <c r="A696" s="15">
        <v>85.500000000000895</v>
      </c>
      <c r="B696" s="45">
        <f t="shared" si="43"/>
        <v>8.1</v>
      </c>
      <c r="C696">
        <v>35</v>
      </c>
      <c r="E696" s="15">
        <f t="shared" si="44"/>
        <v>6.1</v>
      </c>
      <c r="F696" s="15">
        <f t="shared" si="44"/>
        <v>1.81</v>
      </c>
      <c r="G696" s="6">
        <v>355</v>
      </c>
    </row>
    <row r="697" spans="1:7">
      <c r="A697" s="15">
        <v>85.600000000000904</v>
      </c>
      <c r="B697" s="45">
        <f t="shared" si="43"/>
        <v>8.1199999999999992</v>
      </c>
      <c r="C697">
        <v>36</v>
      </c>
      <c r="E697" s="15">
        <f t="shared" si="44"/>
        <v>6.11</v>
      </c>
      <c r="F697" s="15">
        <f t="shared" si="44"/>
        <v>1.82</v>
      </c>
      <c r="G697" s="6">
        <v>356</v>
      </c>
    </row>
    <row r="698" spans="1:7">
      <c r="A698" s="15">
        <v>85.700000000000998</v>
      </c>
      <c r="B698" s="45">
        <f t="shared" si="43"/>
        <v>8.14</v>
      </c>
      <c r="C698">
        <v>37</v>
      </c>
      <c r="E698" s="15">
        <f t="shared" si="44"/>
        <v>6.12</v>
      </c>
      <c r="F698" s="15">
        <f t="shared" si="44"/>
        <v>1.82</v>
      </c>
      <c r="G698" s="6">
        <v>357</v>
      </c>
    </row>
    <row r="699" spans="1:7">
      <c r="A699" s="15">
        <v>85.800000000001006</v>
      </c>
      <c r="B699" s="45">
        <f t="shared" si="43"/>
        <v>8.16</v>
      </c>
      <c r="C699">
        <v>38</v>
      </c>
      <c r="E699" s="15">
        <f t="shared" si="44"/>
        <v>6.13</v>
      </c>
      <c r="F699" s="15">
        <f t="shared" si="44"/>
        <v>1.83</v>
      </c>
      <c r="G699" s="6">
        <v>358</v>
      </c>
    </row>
    <row r="700" spans="1:7">
      <c r="A700" s="15">
        <v>85.900000000001</v>
      </c>
      <c r="B700" s="45">
        <f t="shared" si="43"/>
        <v>8.18</v>
      </c>
      <c r="C700">
        <v>39</v>
      </c>
      <c r="E700" s="15">
        <f t="shared" si="44"/>
        <v>6.14</v>
      </c>
      <c r="F700" s="15">
        <f t="shared" si="44"/>
        <v>1.83</v>
      </c>
      <c r="G700" s="6">
        <v>359</v>
      </c>
    </row>
    <row r="701" spans="1:7">
      <c r="A701" s="17">
        <v>86.000000000000895</v>
      </c>
      <c r="B701" s="46">
        <f>'4_Anzeichnungsprotokoll'!E43</f>
        <v>8.1999999999999993</v>
      </c>
      <c r="C701" s="18">
        <v>0</v>
      </c>
      <c r="E701" s="15">
        <f t="shared" si="44"/>
        <v>6.16</v>
      </c>
      <c r="F701" s="15">
        <f t="shared" si="44"/>
        <v>1.83</v>
      </c>
      <c r="G701" s="6">
        <v>360</v>
      </c>
    </row>
    <row r="702" spans="1:7">
      <c r="A702" s="15">
        <v>86.100000000001003</v>
      </c>
      <c r="B702" s="45">
        <f>ROUND(((B$741-B$701)/40*C702+B$701),2)</f>
        <v>8.2200000000000006</v>
      </c>
      <c r="C702">
        <v>1</v>
      </c>
      <c r="E702" s="15">
        <f t="shared" si="44"/>
        <v>6.17</v>
      </c>
      <c r="F702" s="15">
        <f t="shared" si="44"/>
        <v>1.84</v>
      </c>
      <c r="G702" s="6">
        <v>361</v>
      </c>
    </row>
    <row r="703" spans="1:7">
      <c r="A703" s="15">
        <v>86.200000000000998</v>
      </c>
      <c r="B703" s="45">
        <f t="shared" ref="B703:B740" si="45">ROUND(((B$741-B$701)/40*C703+B$701),2)</f>
        <v>8.24</v>
      </c>
      <c r="C703">
        <v>2</v>
      </c>
      <c r="E703" s="15">
        <f t="shared" si="44"/>
        <v>6.18</v>
      </c>
      <c r="F703" s="15">
        <f t="shared" si="44"/>
        <v>1.84</v>
      </c>
      <c r="G703" s="6">
        <v>362</v>
      </c>
    </row>
    <row r="704" spans="1:7">
      <c r="A704" s="15">
        <v>86.300000000001006</v>
      </c>
      <c r="B704" s="45">
        <f t="shared" si="45"/>
        <v>8.26</v>
      </c>
      <c r="C704">
        <v>3</v>
      </c>
      <c r="E704" s="15">
        <f t="shared" si="44"/>
        <v>6.19</v>
      </c>
      <c r="F704" s="15">
        <f t="shared" si="44"/>
        <v>1.84</v>
      </c>
      <c r="G704" s="6">
        <v>363</v>
      </c>
    </row>
    <row r="705" spans="1:7">
      <c r="A705" s="15">
        <v>86.400000000001</v>
      </c>
      <c r="B705" s="45">
        <f t="shared" si="45"/>
        <v>8.2799999999999994</v>
      </c>
      <c r="C705">
        <v>4</v>
      </c>
      <c r="E705" s="15">
        <f t="shared" si="44"/>
        <v>6.2</v>
      </c>
      <c r="F705" s="15">
        <f t="shared" si="44"/>
        <v>1.85</v>
      </c>
      <c r="G705" s="6">
        <v>364</v>
      </c>
    </row>
    <row r="706" spans="1:7">
      <c r="A706" s="15">
        <v>86.500000000000995</v>
      </c>
      <c r="B706" s="45">
        <f t="shared" si="45"/>
        <v>8.3000000000000007</v>
      </c>
      <c r="C706">
        <v>5</v>
      </c>
      <c r="E706" s="15">
        <f t="shared" si="44"/>
        <v>6.21</v>
      </c>
      <c r="F706" s="15">
        <f t="shared" si="44"/>
        <v>1.85</v>
      </c>
      <c r="G706" s="6">
        <v>365</v>
      </c>
    </row>
    <row r="707" spans="1:7">
      <c r="A707" s="15">
        <v>86.600000000001003</v>
      </c>
      <c r="B707" s="45">
        <f t="shared" si="45"/>
        <v>8.32</v>
      </c>
      <c r="C707">
        <v>6</v>
      </c>
      <c r="E707" s="15">
        <f t="shared" si="44"/>
        <v>6.22</v>
      </c>
      <c r="F707" s="15">
        <f t="shared" si="44"/>
        <v>1.85</v>
      </c>
      <c r="G707" s="6">
        <v>366</v>
      </c>
    </row>
    <row r="708" spans="1:7">
      <c r="A708" s="15">
        <v>86.700000000000998</v>
      </c>
      <c r="B708" s="45">
        <f t="shared" si="45"/>
        <v>8.34</v>
      </c>
      <c r="C708">
        <v>7</v>
      </c>
      <c r="E708" s="15">
        <f t="shared" si="44"/>
        <v>6.24</v>
      </c>
      <c r="F708" s="15">
        <f t="shared" si="44"/>
        <v>1.86</v>
      </c>
      <c r="G708" s="6">
        <v>367</v>
      </c>
    </row>
    <row r="709" spans="1:7">
      <c r="A709" s="15">
        <v>86.800000000001006</v>
      </c>
      <c r="B709" s="45">
        <f t="shared" si="45"/>
        <v>8.36</v>
      </c>
      <c r="C709">
        <v>8</v>
      </c>
      <c r="E709" s="15">
        <f t="shared" si="44"/>
        <v>6.25</v>
      </c>
      <c r="F709" s="15">
        <f t="shared" si="44"/>
        <v>1.86</v>
      </c>
      <c r="G709" s="6">
        <v>368</v>
      </c>
    </row>
    <row r="710" spans="1:7">
      <c r="A710" s="15">
        <v>86.900000000001</v>
      </c>
      <c r="B710" s="45">
        <f t="shared" si="45"/>
        <v>8.3800000000000008</v>
      </c>
      <c r="C710">
        <v>9</v>
      </c>
      <c r="E710" s="15">
        <f t="shared" si="44"/>
        <v>6.26</v>
      </c>
      <c r="F710" s="15">
        <f t="shared" si="44"/>
        <v>1.86</v>
      </c>
      <c r="G710" s="6">
        <v>369</v>
      </c>
    </row>
    <row r="711" spans="1:7">
      <c r="A711" s="15">
        <v>87.000000000000995</v>
      </c>
      <c r="B711" s="45">
        <f t="shared" si="45"/>
        <v>8.4</v>
      </c>
      <c r="C711">
        <v>10</v>
      </c>
      <c r="E711" s="15">
        <f t="shared" si="44"/>
        <v>6.27</v>
      </c>
      <c r="F711" s="15">
        <f t="shared" si="44"/>
        <v>1.87</v>
      </c>
      <c r="G711" s="6">
        <v>370</v>
      </c>
    </row>
    <row r="712" spans="1:7">
      <c r="A712" s="15">
        <v>87.100000000001003</v>
      </c>
      <c r="B712" s="45">
        <f t="shared" si="45"/>
        <v>8.42</v>
      </c>
      <c r="C712">
        <v>11</v>
      </c>
      <c r="E712" s="15">
        <f t="shared" si="44"/>
        <v>6.28</v>
      </c>
      <c r="F712" s="15">
        <f t="shared" si="44"/>
        <v>1.87</v>
      </c>
      <c r="G712" s="6">
        <v>371</v>
      </c>
    </row>
    <row r="713" spans="1:7">
      <c r="A713" s="15">
        <v>87.200000000000998</v>
      </c>
      <c r="B713" s="45">
        <f t="shared" si="45"/>
        <v>8.44</v>
      </c>
      <c r="C713">
        <v>12</v>
      </c>
      <c r="E713" s="15">
        <f t="shared" si="44"/>
        <v>6.29</v>
      </c>
      <c r="F713" s="15">
        <f t="shared" si="44"/>
        <v>1.88</v>
      </c>
      <c r="G713" s="6">
        <v>372</v>
      </c>
    </row>
    <row r="714" spans="1:7">
      <c r="A714" s="15">
        <v>87.300000000001006</v>
      </c>
      <c r="B714" s="45">
        <f t="shared" si="45"/>
        <v>8.4600000000000009</v>
      </c>
      <c r="C714">
        <v>13</v>
      </c>
      <c r="E714" s="15">
        <f t="shared" si="44"/>
        <v>6.31</v>
      </c>
      <c r="F714" s="15">
        <f t="shared" si="44"/>
        <v>1.88</v>
      </c>
      <c r="G714" s="6">
        <v>373</v>
      </c>
    </row>
    <row r="715" spans="1:7">
      <c r="A715" s="15">
        <v>87.400000000001</v>
      </c>
      <c r="B715" s="45">
        <f t="shared" si="45"/>
        <v>8.48</v>
      </c>
      <c r="C715">
        <v>14</v>
      </c>
      <c r="E715" s="15">
        <f t="shared" si="44"/>
        <v>6.32</v>
      </c>
      <c r="F715" s="15">
        <f t="shared" si="44"/>
        <v>1.88</v>
      </c>
      <c r="G715" s="6">
        <v>374</v>
      </c>
    </row>
    <row r="716" spans="1:7">
      <c r="A716" s="15">
        <v>87.500000000000995</v>
      </c>
      <c r="B716" s="45">
        <f t="shared" si="45"/>
        <v>8.5</v>
      </c>
      <c r="C716">
        <v>15</v>
      </c>
      <c r="E716" s="15">
        <f t="shared" si="44"/>
        <v>6.33</v>
      </c>
      <c r="F716" s="15">
        <f t="shared" si="44"/>
        <v>1.89</v>
      </c>
      <c r="G716" s="6">
        <v>375</v>
      </c>
    </row>
    <row r="717" spans="1:7">
      <c r="A717" s="15">
        <v>87.600000000001003</v>
      </c>
      <c r="B717" s="45">
        <f t="shared" si="45"/>
        <v>8.52</v>
      </c>
      <c r="C717">
        <v>16</v>
      </c>
      <c r="E717" s="15">
        <f t="shared" si="44"/>
        <v>6.34</v>
      </c>
      <c r="F717" s="15">
        <f t="shared" si="44"/>
        <v>1.89</v>
      </c>
      <c r="G717" s="6">
        <v>376</v>
      </c>
    </row>
    <row r="718" spans="1:7">
      <c r="A718" s="15">
        <v>87.700000000000998</v>
      </c>
      <c r="B718" s="45">
        <f t="shared" si="45"/>
        <v>8.5399999999999991</v>
      </c>
      <c r="C718">
        <v>17</v>
      </c>
      <c r="E718" s="15">
        <f t="shared" si="44"/>
        <v>6.35</v>
      </c>
      <c r="F718" s="15">
        <f t="shared" si="44"/>
        <v>1.89</v>
      </c>
      <c r="G718" s="6">
        <v>377</v>
      </c>
    </row>
    <row r="719" spans="1:7">
      <c r="A719" s="15">
        <v>87.800000000001006</v>
      </c>
      <c r="B719" s="45">
        <f t="shared" si="45"/>
        <v>8.56</v>
      </c>
      <c r="C719">
        <v>18</v>
      </c>
      <c r="E719" s="15">
        <f t="shared" si="44"/>
        <v>6.36</v>
      </c>
      <c r="F719" s="15">
        <f t="shared" si="44"/>
        <v>1.9</v>
      </c>
      <c r="G719" s="6">
        <v>378</v>
      </c>
    </row>
    <row r="720" spans="1:7">
      <c r="A720" s="15">
        <v>87.900000000001</v>
      </c>
      <c r="B720" s="45">
        <f t="shared" si="45"/>
        <v>8.58</v>
      </c>
      <c r="C720">
        <v>19</v>
      </c>
      <c r="E720" s="15">
        <f t="shared" si="44"/>
        <v>6.37</v>
      </c>
      <c r="F720" s="15">
        <f t="shared" si="44"/>
        <v>1.9</v>
      </c>
      <c r="G720" s="6">
        <v>379</v>
      </c>
    </row>
    <row r="721" spans="1:7">
      <c r="A721" s="15">
        <v>88.000000000000995</v>
      </c>
      <c r="B721" s="45">
        <f t="shared" si="45"/>
        <v>8.6</v>
      </c>
      <c r="C721">
        <v>20</v>
      </c>
      <c r="E721" s="15">
        <f t="shared" si="44"/>
        <v>6.39</v>
      </c>
      <c r="F721" s="15">
        <f t="shared" si="44"/>
        <v>1.9</v>
      </c>
      <c r="G721" s="6">
        <v>380</v>
      </c>
    </row>
    <row r="722" spans="1:7">
      <c r="A722" s="15">
        <v>88.100000000001003</v>
      </c>
      <c r="B722" s="45">
        <f t="shared" si="45"/>
        <v>8.6199999999999992</v>
      </c>
      <c r="C722">
        <v>21</v>
      </c>
      <c r="E722" s="15">
        <f t="shared" si="44"/>
        <v>6.4</v>
      </c>
      <c r="F722" s="15">
        <f t="shared" si="44"/>
        <v>1.91</v>
      </c>
      <c r="G722" s="6">
        <v>381</v>
      </c>
    </row>
    <row r="723" spans="1:7">
      <c r="A723" s="15">
        <v>88.200000000000998</v>
      </c>
      <c r="B723" s="45">
        <f t="shared" si="45"/>
        <v>8.64</v>
      </c>
      <c r="C723">
        <v>22</v>
      </c>
      <c r="E723" s="15">
        <f t="shared" si="44"/>
        <v>6.41</v>
      </c>
      <c r="F723" s="15">
        <f t="shared" si="44"/>
        <v>1.91</v>
      </c>
      <c r="G723" s="6">
        <v>382</v>
      </c>
    </row>
    <row r="724" spans="1:7">
      <c r="A724" s="15">
        <v>88.300000000001006</v>
      </c>
      <c r="B724" s="45">
        <f t="shared" si="45"/>
        <v>8.66</v>
      </c>
      <c r="C724">
        <v>23</v>
      </c>
      <c r="E724" s="15">
        <f t="shared" si="44"/>
        <v>6.42</v>
      </c>
      <c r="F724" s="15">
        <f t="shared" si="44"/>
        <v>1.91</v>
      </c>
      <c r="G724" s="6">
        <v>383</v>
      </c>
    </row>
    <row r="725" spans="1:7">
      <c r="A725" s="15">
        <v>88.400000000001</v>
      </c>
      <c r="B725" s="45">
        <f t="shared" si="45"/>
        <v>8.68</v>
      </c>
      <c r="C725">
        <v>24</v>
      </c>
      <c r="E725" s="15">
        <f t="shared" si="44"/>
        <v>6.43</v>
      </c>
      <c r="F725" s="15">
        <f t="shared" si="44"/>
        <v>1.92</v>
      </c>
      <c r="G725" s="6">
        <v>384</v>
      </c>
    </row>
    <row r="726" spans="1:7">
      <c r="A726" s="15">
        <v>88.500000000000995</v>
      </c>
      <c r="B726" s="45">
        <f t="shared" si="45"/>
        <v>8.6999999999999993</v>
      </c>
      <c r="C726">
        <v>25</v>
      </c>
      <c r="E726" s="15">
        <f t="shared" ref="E726:F757" si="46">ROUND((E$821-E$341)/480*$G726+E$341,2)</f>
        <v>6.44</v>
      </c>
      <c r="F726" s="15">
        <f t="shared" si="46"/>
        <v>1.92</v>
      </c>
      <c r="G726" s="6">
        <v>385</v>
      </c>
    </row>
    <row r="727" spans="1:7">
      <c r="A727" s="15">
        <v>88.600000000001003</v>
      </c>
      <c r="B727" s="45">
        <f t="shared" si="45"/>
        <v>8.7200000000000006</v>
      </c>
      <c r="C727">
        <v>26</v>
      </c>
      <c r="E727" s="15">
        <f t="shared" si="46"/>
        <v>6.46</v>
      </c>
      <c r="F727" s="15">
        <f t="shared" si="46"/>
        <v>1.93</v>
      </c>
      <c r="G727" s="6">
        <v>386</v>
      </c>
    </row>
    <row r="728" spans="1:7">
      <c r="A728" s="15">
        <v>88.700000000000998</v>
      </c>
      <c r="B728" s="45">
        <f t="shared" si="45"/>
        <v>8.74</v>
      </c>
      <c r="C728">
        <v>27</v>
      </c>
      <c r="E728" s="15">
        <f t="shared" si="46"/>
        <v>6.47</v>
      </c>
      <c r="F728" s="15">
        <f t="shared" si="46"/>
        <v>1.93</v>
      </c>
      <c r="G728" s="6">
        <v>387</v>
      </c>
    </row>
    <row r="729" spans="1:7">
      <c r="A729" s="15">
        <v>88.800000000001006</v>
      </c>
      <c r="B729" s="45">
        <f t="shared" si="45"/>
        <v>8.76</v>
      </c>
      <c r="C729">
        <v>28</v>
      </c>
      <c r="E729" s="15">
        <f t="shared" si="46"/>
        <v>6.48</v>
      </c>
      <c r="F729" s="15">
        <f t="shared" si="46"/>
        <v>1.93</v>
      </c>
      <c r="G729" s="6">
        <v>388</v>
      </c>
    </row>
    <row r="730" spans="1:7">
      <c r="A730" s="15">
        <v>88.900000000001</v>
      </c>
      <c r="B730" s="45">
        <f t="shared" si="45"/>
        <v>8.7799999999999994</v>
      </c>
      <c r="C730">
        <v>29</v>
      </c>
      <c r="E730" s="15">
        <f t="shared" si="46"/>
        <v>6.49</v>
      </c>
      <c r="F730" s="15">
        <f t="shared" si="46"/>
        <v>1.94</v>
      </c>
      <c r="G730" s="6">
        <v>389</v>
      </c>
    </row>
    <row r="731" spans="1:7">
      <c r="A731" s="15">
        <v>89.000000000000995</v>
      </c>
      <c r="B731" s="45">
        <f t="shared" si="45"/>
        <v>8.8000000000000007</v>
      </c>
      <c r="C731">
        <v>30</v>
      </c>
      <c r="E731" s="15">
        <f t="shared" si="46"/>
        <v>6.5</v>
      </c>
      <c r="F731" s="15">
        <f t="shared" si="46"/>
        <v>1.94</v>
      </c>
      <c r="G731" s="6">
        <v>390</v>
      </c>
    </row>
    <row r="732" spans="1:7">
      <c r="A732" s="15">
        <v>89.100000000001003</v>
      </c>
      <c r="B732" s="45">
        <f t="shared" si="45"/>
        <v>8.82</v>
      </c>
      <c r="C732">
        <v>31</v>
      </c>
      <c r="E732" s="15">
        <f t="shared" si="46"/>
        <v>6.51</v>
      </c>
      <c r="F732" s="15">
        <f t="shared" si="46"/>
        <v>1.94</v>
      </c>
      <c r="G732" s="6">
        <v>391</v>
      </c>
    </row>
    <row r="733" spans="1:7">
      <c r="A733" s="15">
        <v>89.200000000000998</v>
      </c>
      <c r="B733" s="45">
        <f t="shared" si="45"/>
        <v>8.84</v>
      </c>
      <c r="C733">
        <v>32</v>
      </c>
      <c r="E733" s="15">
        <f t="shared" si="46"/>
        <v>6.52</v>
      </c>
      <c r="F733" s="15">
        <f t="shared" si="46"/>
        <v>1.95</v>
      </c>
      <c r="G733" s="6">
        <v>392</v>
      </c>
    </row>
    <row r="734" spans="1:7">
      <c r="A734" s="15">
        <v>89.300000000001006</v>
      </c>
      <c r="B734" s="45">
        <f t="shared" si="45"/>
        <v>8.86</v>
      </c>
      <c r="C734">
        <v>33</v>
      </c>
      <c r="E734" s="15">
        <f t="shared" si="46"/>
        <v>6.54</v>
      </c>
      <c r="F734" s="15">
        <f t="shared" si="46"/>
        <v>1.95</v>
      </c>
      <c r="G734" s="6">
        <v>393</v>
      </c>
    </row>
    <row r="735" spans="1:7">
      <c r="A735" s="15">
        <v>89.400000000001</v>
      </c>
      <c r="B735" s="45">
        <f t="shared" si="45"/>
        <v>8.8800000000000008</v>
      </c>
      <c r="C735">
        <v>34</v>
      </c>
      <c r="E735" s="15">
        <f t="shared" si="46"/>
        <v>6.55</v>
      </c>
      <c r="F735" s="15">
        <f t="shared" si="46"/>
        <v>1.95</v>
      </c>
      <c r="G735" s="6">
        <v>394</v>
      </c>
    </row>
    <row r="736" spans="1:7">
      <c r="A736" s="15">
        <v>89.500000000000995</v>
      </c>
      <c r="B736" s="45">
        <f t="shared" si="45"/>
        <v>8.9</v>
      </c>
      <c r="C736">
        <v>35</v>
      </c>
      <c r="E736" s="15">
        <f t="shared" si="46"/>
        <v>6.56</v>
      </c>
      <c r="F736" s="15">
        <f t="shared" si="46"/>
        <v>1.96</v>
      </c>
      <c r="G736" s="6">
        <v>395</v>
      </c>
    </row>
    <row r="737" spans="1:7">
      <c r="A737" s="15">
        <v>89.600000000001003</v>
      </c>
      <c r="B737" s="45">
        <f t="shared" si="45"/>
        <v>8.92</v>
      </c>
      <c r="C737">
        <v>36</v>
      </c>
      <c r="E737" s="15">
        <f t="shared" si="46"/>
        <v>6.57</v>
      </c>
      <c r="F737" s="15">
        <f t="shared" si="46"/>
        <v>1.96</v>
      </c>
      <c r="G737" s="6">
        <v>396</v>
      </c>
    </row>
    <row r="738" spans="1:7">
      <c r="A738" s="15">
        <v>89.700000000000998</v>
      </c>
      <c r="B738" s="45">
        <f t="shared" si="45"/>
        <v>8.94</v>
      </c>
      <c r="C738">
        <v>37</v>
      </c>
      <c r="E738" s="15">
        <f t="shared" si="46"/>
        <v>6.58</v>
      </c>
      <c r="F738" s="15">
        <f t="shared" si="46"/>
        <v>1.96</v>
      </c>
      <c r="G738" s="6">
        <v>397</v>
      </c>
    </row>
    <row r="739" spans="1:7">
      <c r="A739" s="15">
        <v>89.800000000001006</v>
      </c>
      <c r="B739" s="45">
        <f t="shared" si="45"/>
        <v>8.9600000000000009</v>
      </c>
      <c r="C739">
        <v>38</v>
      </c>
      <c r="E739" s="15">
        <f t="shared" si="46"/>
        <v>6.59</v>
      </c>
      <c r="F739" s="15">
        <f t="shared" si="46"/>
        <v>1.97</v>
      </c>
      <c r="G739" s="6">
        <v>398</v>
      </c>
    </row>
    <row r="740" spans="1:7">
      <c r="A740" s="15">
        <v>89.900000000001</v>
      </c>
      <c r="B740" s="45">
        <f t="shared" si="45"/>
        <v>8.98</v>
      </c>
      <c r="C740">
        <v>39</v>
      </c>
      <c r="E740" s="15">
        <f t="shared" si="46"/>
        <v>6.61</v>
      </c>
      <c r="F740" s="15">
        <f t="shared" si="46"/>
        <v>1.97</v>
      </c>
      <c r="G740" s="6">
        <v>399</v>
      </c>
    </row>
    <row r="741" spans="1:7">
      <c r="A741" s="17">
        <v>90.000000000000995</v>
      </c>
      <c r="B741" s="46">
        <f>'4_Anzeichnungsprotokoll'!E44</f>
        <v>9</v>
      </c>
      <c r="C741" s="18">
        <v>0</v>
      </c>
      <c r="E741" s="15">
        <f t="shared" si="46"/>
        <v>6.62</v>
      </c>
      <c r="F741" s="15">
        <f t="shared" si="46"/>
        <v>1.98</v>
      </c>
      <c r="G741" s="6">
        <v>400</v>
      </c>
    </row>
    <row r="742" spans="1:7">
      <c r="A742" s="15">
        <v>90.100000000001003</v>
      </c>
      <c r="B742" s="45">
        <f>ROUND(((B$781-B$741)/40*C742+B$741),2)</f>
        <v>9.02</v>
      </c>
      <c r="C742">
        <v>1</v>
      </c>
      <c r="E742" s="15">
        <f t="shared" si="46"/>
        <v>6.63</v>
      </c>
      <c r="F742" s="15">
        <f t="shared" si="46"/>
        <v>1.98</v>
      </c>
      <c r="G742" s="6">
        <v>401</v>
      </c>
    </row>
    <row r="743" spans="1:7">
      <c r="A743" s="15">
        <v>90.200000000000998</v>
      </c>
      <c r="B743" s="45">
        <f t="shared" ref="B743:B780" si="47">ROUND(((B$781-B$741)/40*C743+B$741),2)</f>
        <v>9.0399999999999991</v>
      </c>
      <c r="C743">
        <v>2</v>
      </c>
      <c r="E743" s="15">
        <f t="shared" si="46"/>
        <v>6.64</v>
      </c>
      <c r="F743" s="15">
        <f t="shared" si="46"/>
        <v>1.98</v>
      </c>
      <c r="G743" s="6">
        <v>402</v>
      </c>
    </row>
    <row r="744" spans="1:7">
      <c r="A744" s="15">
        <v>90.300000000001006</v>
      </c>
      <c r="B744" s="45">
        <f t="shared" si="47"/>
        <v>9.06</v>
      </c>
      <c r="C744">
        <v>3</v>
      </c>
      <c r="E744" s="15">
        <f t="shared" si="46"/>
        <v>6.65</v>
      </c>
      <c r="F744" s="15">
        <f t="shared" si="46"/>
        <v>1.99</v>
      </c>
      <c r="G744" s="6">
        <v>403</v>
      </c>
    </row>
    <row r="745" spans="1:7">
      <c r="A745" s="15">
        <v>90.400000000001</v>
      </c>
      <c r="B745" s="45">
        <f t="shared" si="47"/>
        <v>9.08</v>
      </c>
      <c r="C745">
        <v>4</v>
      </c>
      <c r="E745" s="15">
        <f t="shared" si="46"/>
        <v>6.66</v>
      </c>
      <c r="F745" s="15">
        <f t="shared" si="46"/>
        <v>1.99</v>
      </c>
      <c r="G745" s="6">
        <v>404</v>
      </c>
    </row>
    <row r="746" spans="1:7">
      <c r="A746" s="15">
        <v>90.500000000000995</v>
      </c>
      <c r="B746" s="45">
        <f t="shared" si="47"/>
        <v>9.1</v>
      </c>
      <c r="C746">
        <v>5</v>
      </c>
      <c r="E746" s="15">
        <f t="shared" si="46"/>
        <v>6.67</v>
      </c>
      <c r="F746" s="15">
        <f t="shared" si="46"/>
        <v>1.99</v>
      </c>
      <c r="G746" s="6">
        <v>405</v>
      </c>
    </row>
    <row r="747" spans="1:7">
      <c r="A747" s="15">
        <v>90.600000000001003</v>
      </c>
      <c r="B747" s="45">
        <f t="shared" si="47"/>
        <v>9.1199999999999992</v>
      </c>
      <c r="C747">
        <v>6</v>
      </c>
      <c r="E747" s="15">
        <f t="shared" si="46"/>
        <v>6.69</v>
      </c>
      <c r="F747" s="15">
        <f t="shared" si="46"/>
        <v>2</v>
      </c>
      <c r="G747" s="6">
        <v>406</v>
      </c>
    </row>
    <row r="748" spans="1:7">
      <c r="A748" s="15">
        <v>90.700000000000998</v>
      </c>
      <c r="B748" s="45">
        <f t="shared" si="47"/>
        <v>9.14</v>
      </c>
      <c r="C748">
        <v>7</v>
      </c>
      <c r="E748" s="15">
        <f t="shared" si="46"/>
        <v>6.7</v>
      </c>
      <c r="F748" s="15">
        <f t="shared" si="46"/>
        <v>2</v>
      </c>
      <c r="G748" s="6">
        <v>407</v>
      </c>
    </row>
    <row r="749" spans="1:7">
      <c r="A749" s="15">
        <v>90.800000000001006</v>
      </c>
      <c r="B749" s="45">
        <f t="shared" si="47"/>
        <v>9.16</v>
      </c>
      <c r="C749">
        <v>8</v>
      </c>
      <c r="E749" s="15">
        <f t="shared" si="46"/>
        <v>6.71</v>
      </c>
      <c r="F749" s="15">
        <f t="shared" si="46"/>
        <v>2</v>
      </c>
      <c r="G749" s="6">
        <v>408</v>
      </c>
    </row>
    <row r="750" spans="1:7">
      <c r="A750" s="15">
        <v>90.900000000001</v>
      </c>
      <c r="B750" s="45">
        <f t="shared" si="47"/>
        <v>9.18</v>
      </c>
      <c r="C750">
        <v>9</v>
      </c>
      <c r="E750" s="15">
        <f t="shared" si="46"/>
        <v>6.72</v>
      </c>
      <c r="F750" s="15">
        <f t="shared" si="46"/>
        <v>2.0099999999999998</v>
      </c>
      <c r="G750" s="6">
        <v>409</v>
      </c>
    </row>
    <row r="751" spans="1:7">
      <c r="A751" s="15">
        <v>91.000000000000995</v>
      </c>
      <c r="B751" s="45">
        <f t="shared" si="47"/>
        <v>9.1999999999999993</v>
      </c>
      <c r="C751">
        <v>10</v>
      </c>
      <c r="E751" s="15">
        <f t="shared" si="46"/>
        <v>6.73</v>
      </c>
      <c r="F751" s="15">
        <f t="shared" si="46"/>
        <v>2.0099999999999998</v>
      </c>
      <c r="G751" s="6">
        <v>410</v>
      </c>
    </row>
    <row r="752" spans="1:7">
      <c r="A752" s="15">
        <v>91.100000000001003</v>
      </c>
      <c r="B752" s="45">
        <f t="shared" si="47"/>
        <v>9.2200000000000006</v>
      </c>
      <c r="C752">
        <v>11</v>
      </c>
      <c r="E752" s="15">
        <f t="shared" si="46"/>
        <v>6.74</v>
      </c>
      <c r="F752" s="15">
        <f t="shared" si="46"/>
        <v>2.0099999999999998</v>
      </c>
      <c r="G752" s="6">
        <v>411</v>
      </c>
    </row>
    <row r="753" spans="1:7">
      <c r="A753" s="15">
        <v>91.200000000000998</v>
      </c>
      <c r="B753" s="45">
        <f t="shared" si="47"/>
        <v>9.24</v>
      </c>
      <c r="C753">
        <v>12</v>
      </c>
      <c r="E753" s="15">
        <f t="shared" si="46"/>
        <v>6.76</v>
      </c>
      <c r="F753" s="15">
        <f t="shared" si="46"/>
        <v>2.02</v>
      </c>
      <c r="G753" s="6">
        <v>412</v>
      </c>
    </row>
    <row r="754" spans="1:7">
      <c r="A754" s="15">
        <v>91.300000000001006</v>
      </c>
      <c r="B754" s="45">
        <f t="shared" si="47"/>
        <v>9.26</v>
      </c>
      <c r="C754">
        <v>13</v>
      </c>
      <c r="E754" s="15">
        <f t="shared" si="46"/>
        <v>6.77</v>
      </c>
      <c r="F754" s="15">
        <f t="shared" si="46"/>
        <v>2.02</v>
      </c>
      <c r="G754" s="6">
        <v>413</v>
      </c>
    </row>
    <row r="755" spans="1:7">
      <c r="A755" s="15">
        <v>91.400000000001</v>
      </c>
      <c r="B755" s="45">
        <f t="shared" si="47"/>
        <v>9.2799999999999994</v>
      </c>
      <c r="C755">
        <v>14</v>
      </c>
      <c r="E755" s="15">
        <f t="shared" si="46"/>
        <v>6.78</v>
      </c>
      <c r="F755" s="15">
        <f t="shared" si="46"/>
        <v>2.02</v>
      </c>
      <c r="G755" s="6">
        <v>414</v>
      </c>
    </row>
    <row r="756" spans="1:7">
      <c r="A756" s="15">
        <v>91.500000000000995</v>
      </c>
      <c r="B756" s="45">
        <f t="shared" si="47"/>
        <v>9.3000000000000007</v>
      </c>
      <c r="C756">
        <v>15</v>
      </c>
      <c r="E756" s="15">
        <f t="shared" si="46"/>
        <v>6.79</v>
      </c>
      <c r="F756" s="15">
        <f t="shared" si="46"/>
        <v>2.0299999999999998</v>
      </c>
      <c r="G756" s="6">
        <v>415</v>
      </c>
    </row>
    <row r="757" spans="1:7">
      <c r="A757" s="15">
        <v>91.600000000001003</v>
      </c>
      <c r="B757" s="45">
        <f t="shared" si="47"/>
        <v>9.32</v>
      </c>
      <c r="C757">
        <v>16</v>
      </c>
      <c r="E757" s="15">
        <f t="shared" si="46"/>
        <v>6.8</v>
      </c>
      <c r="F757" s="15">
        <f t="shared" si="46"/>
        <v>2.0299999999999998</v>
      </c>
      <c r="G757" s="6">
        <v>416</v>
      </c>
    </row>
    <row r="758" spans="1:7">
      <c r="A758" s="15">
        <v>91.700000000000998</v>
      </c>
      <c r="B758" s="45">
        <f t="shared" si="47"/>
        <v>9.34</v>
      </c>
      <c r="C758">
        <v>17</v>
      </c>
      <c r="E758" s="15">
        <f t="shared" ref="E758:F789" si="48">ROUND((E$821-E$341)/480*$G758+E$341,2)</f>
        <v>6.81</v>
      </c>
      <c r="F758" s="15">
        <f t="shared" si="48"/>
        <v>2.04</v>
      </c>
      <c r="G758" s="6">
        <v>417</v>
      </c>
    </row>
    <row r="759" spans="1:7">
      <c r="A759" s="15">
        <v>91.800000000001006</v>
      </c>
      <c r="B759" s="45">
        <f t="shared" si="47"/>
        <v>9.36</v>
      </c>
      <c r="C759">
        <v>18</v>
      </c>
      <c r="E759" s="15">
        <f t="shared" si="48"/>
        <v>6.82</v>
      </c>
      <c r="F759" s="15">
        <f t="shared" si="48"/>
        <v>2.04</v>
      </c>
      <c r="G759" s="6">
        <v>418</v>
      </c>
    </row>
    <row r="760" spans="1:7">
      <c r="A760" s="15">
        <v>91.900000000001</v>
      </c>
      <c r="B760" s="45">
        <f t="shared" si="47"/>
        <v>9.3800000000000008</v>
      </c>
      <c r="C760">
        <v>19</v>
      </c>
      <c r="E760" s="15">
        <f t="shared" si="48"/>
        <v>6.84</v>
      </c>
      <c r="F760" s="15">
        <f t="shared" si="48"/>
        <v>2.04</v>
      </c>
      <c r="G760" s="6">
        <v>419</v>
      </c>
    </row>
    <row r="761" spans="1:7">
      <c r="A761" s="15">
        <v>92.000000000000995</v>
      </c>
      <c r="B761" s="45">
        <f t="shared" si="47"/>
        <v>9.4</v>
      </c>
      <c r="C761">
        <v>20</v>
      </c>
      <c r="E761" s="15">
        <f t="shared" si="48"/>
        <v>6.85</v>
      </c>
      <c r="F761" s="15">
        <f t="shared" si="48"/>
        <v>2.0499999999999998</v>
      </c>
      <c r="G761" s="6">
        <v>420</v>
      </c>
    </row>
    <row r="762" spans="1:7">
      <c r="A762" s="15">
        <v>92.100000000001003</v>
      </c>
      <c r="B762" s="45">
        <f t="shared" si="47"/>
        <v>9.42</v>
      </c>
      <c r="C762">
        <v>21</v>
      </c>
      <c r="E762" s="15">
        <f t="shared" si="48"/>
        <v>6.86</v>
      </c>
      <c r="F762" s="15">
        <f t="shared" si="48"/>
        <v>2.0499999999999998</v>
      </c>
      <c r="G762" s="6">
        <v>421</v>
      </c>
    </row>
    <row r="763" spans="1:7">
      <c r="A763" s="15">
        <v>92.200000000001097</v>
      </c>
      <c r="B763" s="45">
        <f t="shared" si="47"/>
        <v>9.44</v>
      </c>
      <c r="C763">
        <v>22</v>
      </c>
      <c r="E763" s="15">
        <f t="shared" si="48"/>
        <v>6.87</v>
      </c>
      <c r="F763" s="15">
        <f t="shared" si="48"/>
        <v>2.0499999999999998</v>
      </c>
      <c r="G763" s="6">
        <v>422</v>
      </c>
    </row>
    <row r="764" spans="1:7">
      <c r="A764" s="15">
        <v>92.300000000001006</v>
      </c>
      <c r="B764" s="45">
        <f t="shared" si="47"/>
        <v>9.4600000000000009</v>
      </c>
      <c r="C764">
        <v>23</v>
      </c>
      <c r="E764" s="15">
        <f t="shared" si="48"/>
        <v>6.88</v>
      </c>
      <c r="F764" s="15">
        <f t="shared" si="48"/>
        <v>2.06</v>
      </c>
      <c r="G764" s="6">
        <v>423</v>
      </c>
    </row>
    <row r="765" spans="1:7">
      <c r="A765" s="15">
        <v>92.400000000001</v>
      </c>
      <c r="B765" s="45">
        <f t="shared" si="47"/>
        <v>9.48</v>
      </c>
      <c r="C765">
        <v>24</v>
      </c>
      <c r="E765" s="15">
        <f t="shared" si="48"/>
        <v>6.89</v>
      </c>
      <c r="F765" s="15">
        <f t="shared" si="48"/>
        <v>2.06</v>
      </c>
      <c r="G765" s="6">
        <v>424</v>
      </c>
    </row>
    <row r="766" spans="1:7">
      <c r="A766" s="15">
        <v>92.500000000000995</v>
      </c>
      <c r="B766" s="45">
        <f t="shared" si="47"/>
        <v>9.5</v>
      </c>
      <c r="C766">
        <v>25</v>
      </c>
      <c r="E766" s="15">
        <f t="shared" si="48"/>
        <v>6.91</v>
      </c>
      <c r="F766" s="15">
        <f t="shared" si="48"/>
        <v>2.06</v>
      </c>
      <c r="G766" s="6">
        <v>425</v>
      </c>
    </row>
    <row r="767" spans="1:7">
      <c r="A767" s="15">
        <v>92.600000000001103</v>
      </c>
      <c r="B767" s="45">
        <f t="shared" si="47"/>
        <v>9.52</v>
      </c>
      <c r="C767">
        <v>26</v>
      </c>
      <c r="E767" s="15">
        <f t="shared" si="48"/>
        <v>6.92</v>
      </c>
      <c r="F767" s="15">
        <f t="shared" si="48"/>
        <v>2.0699999999999998</v>
      </c>
      <c r="G767" s="6">
        <v>426</v>
      </c>
    </row>
    <row r="768" spans="1:7">
      <c r="A768" s="15">
        <v>92.700000000001097</v>
      </c>
      <c r="B768" s="45">
        <f t="shared" si="47"/>
        <v>9.5399999999999991</v>
      </c>
      <c r="C768">
        <v>27</v>
      </c>
      <c r="E768" s="15">
        <f t="shared" si="48"/>
        <v>6.93</v>
      </c>
      <c r="F768" s="15">
        <f t="shared" si="48"/>
        <v>2.0699999999999998</v>
      </c>
      <c r="G768" s="6">
        <v>427</v>
      </c>
    </row>
    <row r="769" spans="1:7">
      <c r="A769" s="15">
        <v>92.800000000001006</v>
      </c>
      <c r="B769" s="45">
        <f t="shared" si="47"/>
        <v>9.56</v>
      </c>
      <c r="C769">
        <v>28</v>
      </c>
      <c r="E769" s="15">
        <f t="shared" si="48"/>
        <v>6.94</v>
      </c>
      <c r="F769" s="15">
        <f t="shared" si="48"/>
        <v>2.0699999999999998</v>
      </c>
      <c r="G769" s="6">
        <v>428</v>
      </c>
    </row>
    <row r="770" spans="1:7">
      <c r="A770" s="15">
        <v>92.9000000000011</v>
      </c>
      <c r="B770" s="45">
        <f t="shared" si="47"/>
        <v>9.58</v>
      </c>
      <c r="C770">
        <v>29</v>
      </c>
      <c r="E770" s="15">
        <f t="shared" si="48"/>
        <v>6.95</v>
      </c>
      <c r="F770" s="15">
        <f t="shared" si="48"/>
        <v>2.08</v>
      </c>
      <c r="G770" s="6">
        <v>429</v>
      </c>
    </row>
    <row r="771" spans="1:7">
      <c r="A771" s="15">
        <v>93.000000000001094</v>
      </c>
      <c r="B771" s="45">
        <f t="shared" si="47"/>
        <v>9.6</v>
      </c>
      <c r="C771">
        <v>30</v>
      </c>
      <c r="E771" s="15">
        <f t="shared" si="48"/>
        <v>6.96</v>
      </c>
      <c r="F771" s="15">
        <f t="shared" si="48"/>
        <v>2.08</v>
      </c>
      <c r="G771" s="6">
        <v>430</v>
      </c>
    </row>
    <row r="772" spans="1:7">
      <c r="A772" s="15">
        <v>93.100000000001103</v>
      </c>
      <c r="B772" s="45">
        <f t="shared" si="47"/>
        <v>9.6199999999999992</v>
      </c>
      <c r="C772">
        <v>31</v>
      </c>
      <c r="E772" s="15">
        <f t="shared" si="48"/>
        <v>6.97</v>
      </c>
      <c r="F772" s="15">
        <f t="shared" si="48"/>
        <v>2.09</v>
      </c>
      <c r="G772" s="6">
        <v>431</v>
      </c>
    </row>
    <row r="773" spans="1:7">
      <c r="A773" s="15">
        <v>93.200000000001097</v>
      </c>
      <c r="B773" s="45">
        <f t="shared" si="47"/>
        <v>9.64</v>
      </c>
      <c r="C773">
        <v>32</v>
      </c>
      <c r="E773" s="15">
        <f t="shared" si="48"/>
        <v>6.99</v>
      </c>
      <c r="F773" s="15">
        <f t="shared" si="48"/>
        <v>2.09</v>
      </c>
      <c r="G773" s="6">
        <v>432</v>
      </c>
    </row>
    <row r="774" spans="1:7">
      <c r="A774" s="15">
        <v>93.300000000001106</v>
      </c>
      <c r="B774" s="45">
        <f t="shared" si="47"/>
        <v>9.66</v>
      </c>
      <c r="C774">
        <v>33</v>
      </c>
      <c r="E774" s="15">
        <f t="shared" si="48"/>
        <v>7</v>
      </c>
      <c r="F774" s="15">
        <f t="shared" si="48"/>
        <v>2.09</v>
      </c>
      <c r="G774" s="6">
        <v>433</v>
      </c>
    </row>
    <row r="775" spans="1:7">
      <c r="A775" s="15">
        <v>93.4000000000011</v>
      </c>
      <c r="B775" s="45">
        <f t="shared" si="47"/>
        <v>9.68</v>
      </c>
      <c r="C775">
        <v>34</v>
      </c>
      <c r="E775" s="15">
        <f t="shared" si="48"/>
        <v>7.01</v>
      </c>
      <c r="F775" s="15">
        <f t="shared" si="48"/>
        <v>2.1</v>
      </c>
      <c r="G775" s="6">
        <v>434</v>
      </c>
    </row>
    <row r="776" spans="1:7">
      <c r="A776" s="15">
        <v>93.500000000001094</v>
      </c>
      <c r="B776" s="45">
        <f t="shared" si="47"/>
        <v>9.6999999999999993</v>
      </c>
      <c r="C776">
        <v>35</v>
      </c>
      <c r="E776" s="15">
        <f t="shared" si="48"/>
        <v>7.02</v>
      </c>
      <c r="F776" s="15">
        <f t="shared" si="48"/>
        <v>2.1</v>
      </c>
      <c r="G776" s="6">
        <v>435</v>
      </c>
    </row>
    <row r="777" spans="1:7">
      <c r="A777" s="15">
        <v>93.600000000001103</v>
      </c>
      <c r="B777" s="45">
        <f t="shared" si="47"/>
        <v>9.7200000000000006</v>
      </c>
      <c r="C777">
        <v>36</v>
      </c>
      <c r="E777" s="15">
        <f t="shared" si="48"/>
        <v>7.03</v>
      </c>
      <c r="F777" s="15">
        <f t="shared" si="48"/>
        <v>2.1</v>
      </c>
      <c r="G777" s="6">
        <v>436</v>
      </c>
    </row>
    <row r="778" spans="1:7">
      <c r="A778" s="15">
        <v>93.700000000001097</v>
      </c>
      <c r="B778" s="45">
        <f t="shared" si="47"/>
        <v>9.74</v>
      </c>
      <c r="C778">
        <v>37</v>
      </c>
      <c r="E778" s="15">
        <f t="shared" si="48"/>
        <v>7.04</v>
      </c>
      <c r="F778" s="15">
        <f t="shared" si="48"/>
        <v>2.11</v>
      </c>
      <c r="G778" s="6">
        <v>437</v>
      </c>
    </row>
    <row r="779" spans="1:7">
      <c r="A779" s="15">
        <v>93.800000000001106</v>
      </c>
      <c r="B779" s="45">
        <f t="shared" si="47"/>
        <v>9.76</v>
      </c>
      <c r="C779">
        <v>38</v>
      </c>
      <c r="E779" s="15">
        <f t="shared" si="48"/>
        <v>7.06</v>
      </c>
      <c r="F779" s="15">
        <f t="shared" si="48"/>
        <v>2.11</v>
      </c>
      <c r="G779" s="6">
        <v>438</v>
      </c>
    </row>
    <row r="780" spans="1:7">
      <c r="A780" s="15">
        <v>93.9000000000011</v>
      </c>
      <c r="B780" s="45">
        <f t="shared" si="47"/>
        <v>9.7799999999999994</v>
      </c>
      <c r="C780">
        <v>39</v>
      </c>
      <c r="E780" s="15">
        <f t="shared" si="48"/>
        <v>7.07</v>
      </c>
      <c r="F780" s="15">
        <f t="shared" si="48"/>
        <v>2.11</v>
      </c>
      <c r="G780" s="6">
        <v>439</v>
      </c>
    </row>
    <row r="781" spans="1:7">
      <c r="A781" s="17">
        <v>94.000000000001094</v>
      </c>
      <c r="B781" s="46">
        <f>'4_Anzeichnungsprotokoll'!E45</f>
        <v>9.8000000000000007</v>
      </c>
      <c r="C781" s="18">
        <v>0</v>
      </c>
      <c r="E781" s="15">
        <f t="shared" si="48"/>
        <v>7.08</v>
      </c>
      <c r="F781" s="15">
        <f t="shared" si="48"/>
        <v>2.12</v>
      </c>
      <c r="G781" s="6">
        <v>440</v>
      </c>
    </row>
    <row r="782" spans="1:7">
      <c r="A782" s="15">
        <v>94.100000000001103</v>
      </c>
      <c r="B782" s="45">
        <f>ROUND(((B$821-B$781)/40*C782+B$781),2)</f>
        <v>9.82</v>
      </c>
      <c r="C782">
        <v>1</v>
      </c>
      <c r="E782" s="15">
        <f t="shared" si="48"/>
        <v>7.09</v>
      </c>
      <c r="F782" s="15">
        <f t="shared" si="48"/>
        <v>2.12</v>
      </c>
      <c r="G782" s="6">
        <v>441</v>
      </c>
    </row>
    <row r="783" spans="1:7">
      <c r="A783" s="15">
        <v>94.200000000001097</v>
      </c>
      <c r="B783" s="45">
        <f t="shared" ref="B783:B820" si="49">ROUND(((B$821-B$781)/40*C783+B$781),2)</f>
        <v>9.84</v>
      </c>
      <c r="C783">
        <v>2</v>
      </c>
      <c r="E783" s="15">
        <f t="shared" si="48"/>
        <v>7.1</v>
      </c>
      <c r="F783" s="15">
        <f t="shared" si="48"/>
        <v>2.12</v>
      </c>
      <c r="G783" s="6">
        <v>442</v>
      </c>
    </row>
    <row r="784" spans="1:7">
      <c r="A784" s="15">
        <v>94.300000000001106</v>
      </c>
      <c r="B784" s="45">
        <f t="shared" si="49"/>
        <v>9.86</v>
      </c>
      <c r="C784">
        <v>3</v>
      </c>
      <c r="E784" s="15">
        <f t="shared" si="48"/>
        <v>7.11</v>
      </c>
      <c r="F784" s="15">
        <f t="shared" si="48"/>
        <v>2.13</v>
      </c>
      <c r="G784" s="6">
        <v>443</v>
      </c>
    </row>
    <row r="785" spans="1:7">
      <c r="A785" s="15">
        <v>94.4000000000011</v>
      </c>
      <c r="B785" s="45">
        <f t="shared" si="49"/>
        <v>9.8800000000000008</v>
      </c>
      <c r="C785">
        <v>4</v>
      </c>
      <c r="E785" s="15">
        <f t="shared" si="48"/>
        <v>7.12</v>
      </c>
      <c r="F785" s="15">
        <f t="shared" si="48"/>
        <v>2.13</v>
      </c>
      <c r="G785" s="6">
        <v>444</v>
      </c>
    </row>
    <row r="786" spans="1:7">
      <c r="A786" s="15">
        <v>94.500000000001094</v>
      </c>
      <c r="B786" s="45">
        <f t="shared" si="49"/>
        <v>9.9</v>
      </c>
      <c r="C786">
        <v>5</v>
      </c>
      <c r="E786" s="15">
        <f t="shared" si="48"/>
        <v>7.14</v>
      </c>
      <c r="F786" s="15">
        <f t="shared" si="48"/>
        <v>2.14</v>
      </c>
      <c r="G786" s="6">
        <v>445</v>
      </c>
    </row>
    <row r="787" spans="1:7">
      <c r="A787" s="15">
        <v>94.600000000001103</v>
      </c>
      <c r="B787" s="45">
        <f t="shared" si="49"/>
        <v>9.92</v>
      </c>
      <c r="C787">
        <v>6</v>
      </c>
      <c r="E787" s="15">
        <f t="shared" si="48"/>
        <v>7.15</v>
      </c>
      <c r="F787" s="15">
        <f t="shared" si="48"/>
        <v>2.14</v>
      </c>
      <c r="G787" s="6">
        <v>446</v>
      </c>
    </row>
    <row r="788" spans="1:7">
      <c r="A788" s="15">
        <v>94.700000000001097</v>
      </c>
      <c r="B788" s="45">
        <f t="shared" si="49"/>
        <v>9.94</v>
      </c>
      <c r="C788">
        <v>7</v>
      </c>
      <c r="E788" s="15">
        <f t="shared" si="48"/>
        <v>7.16</v>
      </c>
      <c r="F788" s="15">
        <f t="shared" si="48"/>
        <v>2.14</v>
      </c>
      <c r="G788" s="6">
        <v>447</v>
      </c>
    </row>
    <row r="789" spans="1:7">
      <c r="A789" s="15">
        <v>94.800000000001106</v>
      </c>
      <c r="B789" s="45">
        <f t="shared" si="49"/>
        <v>9.9600000000000009</v>
      </c>
      <c r="C789">
        <v>8</v>
      </c>
      <c r="E789" s="15">
        <f t="shared" si="48"/>
        <v>7.17</v>
      </c>
      <c r="F789" s="15">
        <f t="shared" si="48"/>
        <v>2.15</v>
      </c>
      <c r="G789" s="6">
        <v>448</v>
      </c>
    </row>
    <row r="790" spans="1:7">
      <c r="A790" s="15">
        <v>94.9000000000011</v>
      </c>
      <c r="B790" s="45">
        <f t="shared" si="49"/>
        <v>9.98</v>
      </c>
      <c r="C790">
        <v>9</v>
      </c>
      <c r="E790" s="15">
        <f t="shared" ref="E790:F819" si="50">ROUND((E$821-E$341)/480*$G790+E$341,2)</f>
        <v>7.18</v>
      </c>
      <c r="F790" s="15">
        <f t="shared" si="50"/>
        <v>2.15</v>
      </c>
      <c r="G790" s="6">
        <v>449</v>
      </c>
    </row>
    <row r="791" spans="1:7">
      <c r="A791" s="15">
        <v>95.000000000001094</v>
      </c>
      <c r="B791" s="45">
        <f t="shared" si="49"/>
        <v>10</v>
      </c>
      <c r="C791">
        <v>10</v>
      </c>
      <c r="E791" s="15">
        <f t="shared" si="50"/>
        <v>7.19</v>
      </c>
      <c r="F791" s="15">
        <f t="shared" si="50"/>
        <v>2.15</v>
      </c>
      <c r="G791" s="6">
        <v>450</v>
      </c>
    </row>
    <row r="792" spans="1:7">
      <c r="A792" s="15">
        <v>95.100000000001103</v>
      </c>
      <c r="B792" s="45">
        <f t="shared" si="49"/>
        <v>10.02</v>
      </c>
      <c r="C792">
        <v>11</v>
      </c>
      <c r="E792" s="15">
        <f t="shared" si="50"/>
        <v>7.21</v>
      </c>
      <c r="F792" s="15">
        <f t="shared" si="50"/>
        <v>2.16</v>
      </c>
      <c r="G792" s="6">
        <v>451</v>
      </c>
    </row>
    <row r="793" spans="1:7">
      <c r="A793" s="15">
        <v>95.200000000001097</v>
      </c>
      <c r="B793" s="45">
        <f t="shared" si="49"/>
        <v>10.039999999999999</v>
      </c>
      <c r="C793">
        <v>12</v>
      </c>
      <c r="E793" s="15">
        <f t="shared" si="50"/>
        <v>7.22</v>
      </c>
      <c r="F793" s="15">
        <f t="shared" si="50"/>
        <v>2.16</v>
      </c>
      <c r="G793" s="6">
        <v>452</v>
      </c>
    </row>
    <row r="794" spans="1:7">
      <c r="A794" s="15">
        <v>95.300000000001106</v>
      </c>
      <c r="B794" s="45">
        <f t="shared" si="49"/>
        <v>10.06</v>
      </c>
      <c r="C794">
        <v>13</v>
      </c>
      <c r="E794" s="15">
        <f t="shared" si="50"/>
        <v>7.23</v>
      </c>
      <c r="F794" s="15">
        <f t="shared" si="50"/>
        <v>2.16</v>
      </c>
      <c r="G794" s="6">
        <v>453</v>
      </c>
    </row>
    <row r="795" spans="1:7">
      <c r="A795" s="15">
        <v>95.4000000000011</v>
      </c>
      <c r="B795" s="45">
        <f t="shared" si="49"/>
        <v>10.08</v>
      </c>
      <c r="C795">
        <v>14</v>
      </c>
      <c r="E795" s="15">
        <f t="shared" si="50"/>
        <v>7.24</v>
      </c>
      <c r="F795" s="15">
        <f t="shared" si="50"/>
        <v>2.17</v>
      </c>
      <c r="G795" s="6">
        <v>454</v>
      </c>
    </row>
    <row r="796" spans="1:7">
      <c r="A796" s="15">
        <v>95.500000000001094</v>
      </c>
      <c r="B796" s="45">
        <f t="shared" si="49"/>
        <v>10.1</v>
      </c>
      <c r="C796">
        <v>15</v>
      </c>
      <c r="E796" s="15">
        <f t="shared" si="50"/>
        <v>7.25</v>
      </c>
      <c r="F796" s="15">
        <f t="shared" si="50"/>
        <v>2.17</v>
      </c>
      <c r="G796" s="6">
        <v>455</v>
      </c>
    </row>
    <row r="797" spans="1:7">
      <c r="A797" s="15">
        <v>95.600000000001103</v>
      </c>
      <c r="B797" s="45">
        <f t="shared" si="49"/>
        <v>10.119999999999999</v>
      </c>
      <c r="C797">
        <v>16</v>
      </c>
      <c r="E797" s="15">
        <f t="shared" si="50"/>
        <v>7.26</v>
      </c>
      <c r="F797" s="15">
        <f t="shared" si="50"/>
        <v>2.17</v>
      </c>
      <c r="G797" s="6">
        <v>456</v>
      </c>
    </row>
    <row r="798" spans="1:7">
      <c r="A798" s="15">
        <v>95.700000000001097</v>
      </c>
      <c r="B798" s="45">
        <f t="shared" si="49"/>
        <v>10.14</v>
      </c>
      <c r="C798">
        <v>17</v>
      </c>
      <c r="E798" s="15">
        <f t="shared" si="50"/>
        <v>7.27</v>
      </c>
      <c r="F798" s="15">
        <f t="shared" si="50"/>
        <v>2.1800000000000002</v>
      </c>
      <c r="G798" s="6">
        <v>457</v>
      </c>
    </row>
    <row r="799" spans="1:7">
      <c r="A799" s="15">
        <v>95.800000000001106</v>
      </c>
      <c r="B799" s="45">
        <f t="shared" si="49"/>
        <v>10.16</v>
      </c>
      <c r="C799">
        <v>18</v>
      </c>
      <c r="E799" s="15">
        <f t="shared" si="50"/>
        <v>7.29</v>
      </c>
      <c r="F799" s="15">
        <f t="shared" si="50"/>
        <v>2.1800000000000002</v>
      </c>
      <c r="G799" s="6">
        <v>458</v>
      </c>
    </row>
    <row r="800" spans="1:7">
      <c r="A800" s="15">
        <v>95.9000000000011</v>
      </c>
      <c r="B800" s="45">
        <f t="shared" si="49"/>
        <v>10.18</v>
      </c>
      <c r="C800">
        <v>19</v>
      </c>
      <c r="E800" s="15">
        <f t="shared" si="50"/>
        <v>7.3</v>
      </c>
      <c r="F800" s="15">
        <f t="shared" si="50"/>
        <v>2.19</v>
      </c>
      <c r="G800" s="6">
        <v>459</v>
      </c>
    </row>
    <row r="801" spans="1:7">
      <c r="A801" s="15">
        <v>96.000000000001094</v>
      </c>
      <c r="B801" s="45">
        <f t="shared" si="49"/>
        <v>10.199999999999999</v>
      </c>
      <c r="C801">
        <v>20</v>
      </c>
      <c r="E801" s="15">
        <f t="shared" si="50"/>
        <v>7.31</v>
      </c>
      <c r="F801" s="15">
        <f t="shared" si="50"/>
        <v>2.19</v>
      </c>
      <c r="G801" s="6">
        <v>460</v>
      </c>
    </row>
    <row r="802" spans="1:7">
      <c r="A802" s="15">
        <v>96.100000000001103</v>
      </c>
      <c r="B802" s="45">
        <f t="shared" si="49"/>
        <v>10.220000000000001</v>
      </c>
      <c r="C802">
        <v>21</v>
      </c>
      <c r="E802" s="15">
        <f t="shared" si="50"/>
        <v>7.32</v>
      </c>
      <c r="F802" s="15">
        <f t="shared" si="50"/>
        <v>2.19</v>
      </c>
      <c r="G802" s="6">
        <v>461</v>
      </c>
    </row>
    <row r="803" spans="1:7">
      <c r="A803" s="15">
        <v>96.200000000001097</v>
      </c>
      <c r="B803" s="45">
        <f t="shared" si="49"/>
        <v>10.24</v>
      </c>
      <c r="C803">
        <v>22</v>
      </c>
      <c r="E803" s="15">
        <f t="shared" si="50"/>
        <v>7.33</v>
      </c>
      <c r="F803" s="15">
        <f t="shared" si="50"/>
        <v>2.2000000000000002</v>
      </c>
      <c r="G803" s="6">
        <v>462</v>
      </c>
    </row>
    <row r="804" spans="1:7">
      <c r="A804" s="15">
        <v>96.300000000001106</v>
      </c>
      <c r="B804" s="45">
        <f t="shared" si="49"/>
        <v>10.26</v>
      </c>
      <c r="C804">
        <v>23</v>
      </c>
      <c r="E804" s="15">
        <f t="shared" si="50"/>
        <v>7.34</v>
      </c>
      <c r="F804" s="15">
        <f t="shared" si="50"/>
        <v>2.2000000000000002</v>
      </c>
      <c r="G804" s="6">
        <v>463</v>
      </c>
    </row>
    <row r="805" spans="1:7">
      <c r="A805" s="15">
        <v>96.4000000000011</v>
      </c>
      <c r="B805" s="45">
        <f t="shared" si="49"/>
        <v>10.28</v>
      </c>
      <c r="C805">
        <v>24</v>
      </c>
      <c r="E805" s="15">
        <f t="shared" si="50"/>
        <v>7.36</v>
      </c>
      <c r="F805" s="15">
        <f t="shared" si="50"/>
        <v>2.2000000000000002</v>
      </c>
      <c r="G805" s="6">
        <v>464</v>
      </c>
    </row>
    <row r="806" spans="1:7">
      <c r="A806" s="15">
        <v>96.500000000001094</v>
      </c>
      <c r="B806" s="45">
        <f t="shared" si="49"/>
        <v>10.3</v>
      </c>
      <c r="C806">
        <v>25</v>
      </c>
      <c r="E806" s="15">
        <f t="shared" si="50"/>
        <v>7.37</v>
      </c>
      <c r="F806" s="15">
        <f t="shared" si="50"/>
        <v>2.21</v>
      </c>
      <c r="G806" s="6">
        <v>465</v>
      </c>
    </row>
    <row r="807" spans="1:7">
      <c r="A807" s="15">
        <v>96.600000000001103</v>
      </c>
      <c r="B807" s="45">
        <f t="shared" si="49"/>
        <v>10.32</v>
      </c>
      <c r="C807">
        <v>26</v>
      </c>
      <c r="E807" s="15">
        <f t="shared" si="50"/>
        <v>7.38</v>
      </c>
      <c r="F807" s="15">
        <f t="shared" si="50"/>
        <v>2.21</v>
      </c>
      <c r="G807" s="6">
        <v>466</v>
      </c>
    </row>
    <row r="808" spans="1:7">
      <c r="A808" s="15">
        <v>96.700000000001097</v>
      </c>
      <c r="B808" s="45">
        <f t="shared" si="49"/>
        <v>10.34</v>
      </c>
      <c r="C808">
        <v>27</v>
      </c>
      <c r="E808" s="15">
        <f t="shared" si="50"/>
        <v>7.39</v>
      </c>
      <c r="F808" s="15">
        <f t="shared" si="50"/>
        <v>2.21</v>
      </c>
      <c r="G808" s="6">
        <v>467</v>
      </c>
    </row>
    <row r="809" spans="1:7">
      <c r="A809" s="15">
        <v>96.800000000001106</v>
      </c>
      <c r="B809" s="45">
        <f t="shared" si="49"/>
        <v>10.36</v>
      </c>
      <c r="C809">
        <v>28</v>
      </c>
      <c r="E809" s="15">
        <f t="shared" si="50"/>
        <v>7.4</v>
      </c>
      <c r="F809" s="15">
        <f t="shared" si="50"/>
        <v>2.2200000000000002</v>
      </c>
      <c r="G809" s="6">
        <v>468</v>
      </c>
    </row>
    <row r="810" spans="1:7">
      <c r="A810" s="15">
        <v>96.9000000000011</v>
      </c>
      <c r="B810" s="45">
        <f t="shared" si="49"/>
        <v>10.38</v>
      </c>
      <c r="C810">
        <v>29</v>
      </c>
      <c r="E810" s="15">
        <f t="shared" si="50"/>
        <v>7.41</v>
      </c>
      <c r="F810" s="15">
        <f t="shared" si="50"/>
        <v>2.2200000000000002</v>
      </c>
      <c r="G810" s="6">
        <v>469</v>
      </c>
    </row>
    <row r="811" spans="1:7">
      <c r="A811" s="15">
        <v>97.000000000001094</v>
      </c>
      <c r="B811" s="45">
        <f t="shared" si="49"/>
        <v>10.4</v>
      </c>
      <c r="C811">
        <v>30</v>
      </c>
      <c r="E811" s="15">
        <f t="shared" si="50"/>
        <v>7.42</v>
      </c>
      <c r="F811" s="15">
        <f t="shared" si="50"/>
        <v>2.2200000000000002</v>
      </c>
      <c r="G811" s="6">
        <v>470</v>
      </c>
    </row>
    <row r="812" spans="1:7">
      <c r="A812" s="15">
        <v>97.100000000001103</v>
      </c>
      <c r="B812" s="45">
        <f t="shared" si="49"/>
        <v>10.42</v>
      </c>
      <c r="C812">
        <v>31</v>
      </c>
      <c r="E812" s="15">
        <f t="shared" si="50"/>
        <v>7.44</v>
      </c>
      <c r="F812" s="15">
        <f t="shared" si="50"/>
        <v>2.23</v>
      </c>
      <c r="G812" s="6">
        <v>471</v>
      </c>
    </row>
    <row r="813" spans="1:7">
      <c r="A813" s="15">
        <v>97.200000000001097</v>
      </c>
      <c r="B813" s="45">
        <f t="shared" si="49"/>
        <v>10.44</v>
      </c>
      <c r="C813">
        <v>32</v>
      </c>
      <c r="E813" s="15">
        <f t="shared" si="50"/>
        <v>7.45</v>
      </c>
      <c r="F813" s="15">
        <f t="shared" si="50"/>
        <v>2.23</v>
      </c>
      <c r="G813" s="6">
        <v>472</v>
      </c>
    </row>
    <row r="814" spans="1:7">
      <c r="A814" s="15">
        <v>97.300000000001106</v>
      </c>
      <c r="B814" s="45">
        <f t="shared" si="49"/>
        <v>10.46</v>
      </c>
      <c r="C814">
        <v>33</v>
      </c>
      <c r="E814" s="15">
        <f t="shared" si="50"/>
        <v>7.46</v>
      </c>
      <c r="F814" s="15">
        <f t="shared" si="50"/>
        <v>2.2400000000000002</v>
      </c>
      <c r="G814" s="6">
        <v>473</v>
      </c>
    </row>
    <row r="815" spans="1:7">
      <c r="A815" s="15">
        <v>97.4000000000011</v>
      </c>
      <c r="B815" s="45">
        <f t="shared" si="49"/>
        <v>10.48</v>
      </c>
      <c r="C815">
        <v>34</v>
      </c>
      <c r="E815" s="15">
        <f t="shared" si="50"/>
        <v>7.47</v>
      </c>
      <c r="F815" s="15">
        <f t="shared" si="50"/>
        <v>2.2400000000000002</v>
      </c>
      <c r="G815" s="6">
        <v>474</v>
      </c>
    </row>
    <row r="816" spans="1:7">
      <c r="A816" s="15">
        <v>97.500000000001094</v>
      </c>
      <c r="B816" s="45">
        <f t="shared" si="49"/>
        <v>10.5</v>
      </c>
      <c r="C816">
        <v>35</v>
      </c>
      <c r="E816" s="15">
        <f t="shared" si="50"/>
        <v>7.48</v>
      </c>
      <c r="F816" s="15">
        <f t="shared" si="50"/>
        <v>2.2400000000000002</v>
      </c>
      <c r="G816" s="6">
        <v>475</v>
      </c>
    </row>
    <row r="817" spans="1:7">
      <c r="A817" s="15">
        <v>97.600000000001103</v>
      </c>
      <c r="B817" s="45">
        <f t="shared" si="49"/>
        <v>10.52</v>
      </c>
      <c r="C817">
        <v>36</v>
      </c>
      <c r="E817" s="15">
        <f t="shared" si="50"/>
        <v>7.49</v>
      </c>
      <c r="F817" s="15">
        <f t="shared" si="50"/>
        <v>2.25</v>
      </c>
      <c r="G817" s="6">
        <v>476</v>
      </c>
    </row>
    <row r="818" spans="1:7">
      <c r="A818" s="15">
        <v>97.700000000001097</v>
      </c>
      <c r="B818" s="45">
        <f t="shared" si="49"/>
        <v>10.54</v>
      </c>
      <c r="C818">
        <v>37</v>
      </c>
      <c r="E818" s="15">
        <f t="shared" si="50"/>
        <v>7.51</v>
      </c>
      <c r="F818" s="15">
        <f t="shared" si="50"/>
        <v>2.25</v>
      </c>
      <c r="G818" s="6">
        <v>477</v>
      </c>
    </row>
    <row r="819" spans="1:7">
      <c r="A819" s="15">
        <v>97.800000000001106</v>
      </c>
      <c r="B819" s="45">
        <f t="shared" si="49"/>
        <v>10.56</v>
      </c>
      <c r="C819">
        <v>38</v>
      </c>
      <c r="E819" s="15">
        <f t="shared" si="50"/>
        <v>7.52</v>
      </c>
      <c r="F819" s="15">
        <f t="shared" si="50"/>
        <v>2.25</v>
      </c>
      <c r="G819" s="6">
        <v>478</v>
      </c>
    </row>
    <row r="820" spans="1:7">
      <c r="A820" s="15">
        <v>97.9000000000011</v>
      </c>
      <c r="B820" s="45">
        <f t="shared" si="49"/>
        <v>10.58</v>
      </c>
      <c r="C820">
        <v>39</v>
      </c>
      <c r="E820" s="15">
        <f>ROUND((E$821-E$341)/480*$G820+E$341,2)</f>
        <v>7.53</v>
      </c>
      <c r="F820" s="15">
        <f>ROUND((F$821-F$341)/480*$G820+F$341,2)</f>
        <v>2.2599999999999998</v>
      </c>
      <c r="G820" s="6">
        <v>479</v>
      </c>
    </row>
    <row r="821" spans="1:7">
      <c r="A821" s="17">
        <v>98.000000000001094</v>
      </c>
      <c r="B821" s="46">
        <f>'4_Anzeichnungsprotokoll'!E46</f>
        <v>10.6</v>
      </c>
      <c r="C821" s="18">
        <v>0</v>
      </c>
      <c r="E821" s="63">
        <v>7.54</v>
      </c>
      <c r="F821" s="63">
        <v>2.2599999999999998</v>
      </c>
      <c r="G821" s="6">
        <v>480</v>
      </c>
    </row>
    <row r="822" spans="1:7">
      <c r="A822" s="15">
        <v>98.100000000001103</v>
      </c>
      <c r="B822" s="45">
        <f>ROUND(((B$861-B$821)/40*C822+B$821),2)</f>
        <v>10.62</v>
      </c>
      <c r="C822">
        <v>1</v>
      </c>
    </row>
    <row r="823" spans="1:7">
      <c r="A823" s="15">
        <v>98.200000000001097</v>
      </c>
      <c r="B823" s="45">
        <f t="shared" ref="B823:B860" si="51">ROUND(((B$861-B$821)/40*C823+B$821),2)</f>
        <v>10.64</v>
      </c>
      <c r="C823">
        <v>2</v>
      </c>
    </row>
    <row r="824" spans="1:7">
      <c r="A824" s="15">
        <v>98.300000000001106</v>
      </c>
      <c r="B824" s="45">
        <f t="shared" si="51"/>
        <v>10.66</v>
      </c>
      <c r="C824">
        <v>3</v>
      </c>
    </row>
    <row r="825" spans="1:7">
      <c r="A825" s="15">
        <v>98.4000000000011</v>
      </c>
      <c r="B825" s="45">
        <f t="shared" si="51"/>
        <v>10.68</v>
      </c>
      <c r="C825">
        <v>4</v>
      </c>
    </row>
    <row r="826" spans="1:7">
      <c r="A826" s="15">
        <v>98.500000000001094</v>
      </c>
      <c r="B826" s="45">
        <f t="shared" si="51"/>
        <v>10.7</v>
      </c>
      <c r="C826">
        <v>5</v>
      </c>
    </row>
    <row r="827" spans="1:7">
      <c r="A827" s="15">
        <v>98.600000000001103</v>
      </c>
      <c r="B827" s="45">
        <f t="shared" si="51"/>
        <v>10.72</v>
      </c>
      <c r="C827">
        <v>6</v>
      </c>
    </row>
    <row r="828" spans="1:7">
      <c r="A828" s="15">
        <v>98.700000000001097</v>
      </c>
      <c r="B828" s="45">
        <f t="shared" si="51"/>
        <v>10.74</v>
      </c>
      <c r="C828">
        <v>7</v>
      </c>
    </row>
    <row r="829" spans="1:7">
      <c r="A829" s="15">
        <v>98.800000000001106</v>
      </c>
      <c r="B829" s="45">
        <f t="shared" si="51"/>
        <v>10.76</v>
      </c>
      <c r="C829">
        <v>8</v>
      </c>
    </row>
    <row r="830" spans="1:7">
      <c r="A830" s="15">
        <v>98.9000000000011</v>
      </c>
      <c r="B830" s="45">
        <f t="shared" si="51"/>
        <v>10.78</v>
      </c>
      <c r="C830">
        <v>9</v>
      </c>
    </row>
    <row r="831" spans="1:7">
      <c r="A831" s="15">
        <v>99.000000000001094</v>
      </c>
      <c r="B831" s="45">
        <f t="shared" si="51"/>
        <v>10.8</v>
      </c>
      <c r="C831">
        <v>10</v>
      </c>
    </row>
    <row r="832" spans="1:7">
      <c r="A832" s="15">
        <v>99.100000000001103</v>
      </c>
      <c r="B832" s="45">
        <f t="shared" si="51"/>
        <v>10.82</v>
      </c>
      <c r="C832">
        <v>11</v>
      </c>
    </row>
    <row r="833" spans="1:3">
      <c r="A833" s="15">
        <v>99.200000000001097</v>
      </c>
      <c r="B833" s="45">
        <f t="shared" si="51"/>
        <v>10.84</v>
      </c>
      <c r="C833">
        <v>12</v>
      </c>
    </row>
    <row r="834" spans="1:3">
      <c r="A834" s="15">
        <v>99.300000000001106</v>
      </c>
      <c r="B834" s="45">
        <f t="shared" si="51"/>
        <v>10.86</v>
      </c>
      <c r="C834">
        <v>13</v>
      </c>
    </row>
    <row r="835" spans="1:3">
      <c r="A835" s="15">
        <v>99.400000000001199</v>
      </c>
      <c r="B835" s="45">
        <f t="shared" si="51"/>
        <v>10.88</v>
      </c>
      <c r="C835">
        <v>14</v>
      </c>
    </row>
    <row r="836" spans="1:3">
      <c r="A836" s="15">
        <v>99.500000000001094</v>
      </c>
      <c r="B836" s="45">
        <f t="shared" si="51"/>
        <v>10.9</v>
      </c>
      <c r="C836">
        <v>15</v>
      </c>
    </row>
    <row r="837" spans="1:3">
      <c r="A837" s="15">
        <v>99.600000000001103</v>
      </c>
      <c r="B837" s="45">
        <f t="shared" si="51"/>
        <v>10.92</v>
      </c>
      <c r="C837">
        <v>16</v>
      </c>
    </row>
    <row r="838" spans="1:3">
      <c r="A838" s="15">
        <v>99.700000000001197</v>
      </c>
      <c r="B838" s="45">
        <f t="shared" si="51"/>
        <v>10.94</v>
      </c>
      <c r="C838">
        <v>17</v>
      </c>
    </row>
    <row r="839" spans="1:3">
      <c r="A839" s="15">
        <v>99.800000000001205</v>
      </c>
      <c r="B839" s="45">
        <f t="shared" si="51"/>
        <v>10.96</v>
      </c>
      <c r="C839">
        <v>18</v>
      </c>
    </row>
    <row r="840" spans="1:3">
      <c r="A840" s="15">
        <v>99.900000000001199</v>
      </c>
      <c r="B840" s="45">
        <f t="shared" si="51"/>
        <v>10.98</v>
      </c>
      <c r="C840">
        <v>19</v>
      </c>
    </row>
    <row r="841" spans="1:3">
      <c r="A841" s="15">
        <v>100.00000000000099</v>
      </c>
      <c r="B841" s="45">
        <f t="shared" si="51"/>
        <v>11</v>
      </c>
      <c r="C841">
        <v>20</v>
      </c>
    </row>
    <row r="842" spans="1:3">
      <c r="A842" s="15">
        <v>100.1</v>
      </c>
      <c r="B842" s="45">
        <f t="shared" si="51"/>
        <v>11.02</v>
      </c>
      <c r="C842">
        <v>21</v>
      </c>
    </row>
    <row r="843" spans="1:3">
      <c r="A843" s="15">
        <v>100.2</v>
      </c>
      <c r="B843" s="45">
        <f t="shared" si="51"/>
        <v>11.04</v>
      </c>
      <c r="C843">
        <v>22</v>
      </c>
    </row>
    <row r="844" spans="1:3">
      <c r="A844" s="15">
        <v>100.3</v>
      </c>
      <c r="B844" s="45">
        <f t="shared" si="51"/>
        <v>11.06</v>
      </c>
      <c r="C844">
        <v>23</v>
      </c>
    </row>
    <row r="845" spans="1:3">
      <c r="A845" s="15">
        <v>100.4</v>
      </c>
      <c r="B845" s="45">
        <f t="shared" si="51"/>
        <v>11.08</v>
      </c>
      <c r="C845">
        <v>24</v>
      </c>
    </row>
    <row r="846" spans="1:3">
      <c r="A846" s="15">
        <v>100.5</v>
      </c>
      <c r="B846" s="45">
        <f t="shared" si="51"/>
        <v>11.1</v>
      </c>
      <c r="C846">
        <v>25</v>
      </c>
    </row>
    <row r="847" spans="1:3">
      <c r="A847" s="15">
        <v>100.6</v>
      </c>
      <c r="B847" s="45">
        <f t="shared" si="51"/>
        <v>11.12</v>
      </c>
      <c r="C847">
        <v>26</v>
      </c>
    </row>
    <row r="848" spans="1:3">
      <c r="A848" s="15">
        <v>100.7</v>
      </c>
      <c r="B848" s="45">
        <f t="shared" si="51"/>
        <v>11.14</v>
      </c>
      <c r="C848">
        <v>27</v>
      </c>
    </row>
    <row r="849" spans="1:3">
      <c r="A849" s="15">
        <v>100.8</v>
      </c>
      <c r="B849" s="45">
        <f t="shared" si="51"/>
        <v>11.16</v>
      </c>
      <c r="C849">
        <v>28</v>
      </c>
    </row>
    <row r="850" spans="1:3">
      <c r="A850" s="15">
        <v>100.9</v>
      </c>
      <c r="B850" s="45">
        <f t="shared" si="51"/>
        <v>11.18</v>
      </c>
      <c r="C850">
        <v>29</v>
      </c>
    </row>
    <row r="851" spans="1:3">
      <c r="A851" s="15">
        <v>101</v>
      </c>
      <c r="B851" s="45">
        <f t="shared" si="51"/>
        <v>11.2</v>
      </c>
      <c r="C851">
        <v>30</v>
      </c>
    </row>
    <row r="852" spans="1:3">
      <c r="A852" s="15">
        <v>101.1</v>
      </c>
      <c r="B852" s="45">
        <f t="shared" si="51"/>
        <v>11.22</v>
      </c>
      <c r="C852">
        <v>31</v>
      </c>
    </row>
    <row r="853" spans="1:3">
      <c r="A853" s="15">
        <v>101.2</v>
      </c>
      <c r="B853" s="45">
        <f t="shared" si="51"/>
        <v>11.24</v>
      </c>
      <c r="C853">
        <v>32</v>
      </c>
    </row>
    <row r="854" spans="1:3">
      <c r="A854" s="15">
        <v>101.3</v>
      </c>
      <c r="B854" s="45">
        <f t="shared" si="51"/>
        <v>11.26</v>
      </c>
      <c r="C854">
        <v>33</v>
      </c>
    </row>
    <row r="855" spans="1:3">
      <c r="A855" s="15">
        <v>101.4</v>
      </c>
      <c r="B855" s="45">
        <f t="shared" si="51"/>
        <v>11.28</v>
      </c>
      <c r="C855">
        <v>34</v>
      </c>
    </row>
    <row r="856" spans="1:3">
      <c r="A856" s="15">
        <v>101.5</v>
      </c>
      <c r="B856" s="45">
        <f t="shared" si="51"/>
        <v>11.3</v>
      </c>
      <c r="C856">
        <v>35</v>
      </c>
    </row>
    <row r="857" spans="1:3">
      <c r="A857" s="15">
        <v>101.6</v>
      </c>
      <c r="B857" s="45">
        <f t="shared" si="51"/>
        <v>11.32</v>
      </c>
      <c r="C857">
        <v>36</v>
      </c>
    </row>
    <row r="858" spans="1:3">
      <c r="A858" s="15">
        <v>101.7</v>
      </c>
      <c r="B858" s="45">
        <f t="shared" si="51"/>
        <v>11.34</v>
      </c>
      <c r="C858">
        <v>37</v>
      </c>
    </row>
    <row r="859" spans="1:3">
      <c r="A859" s="15">
        <v>101.8</v>
      </c>
      <c r="B859" s="45">
        <f t="shared" si="51"/>
        <v>11.36</v>
      </c>
      <c r="C859">
        <v>38</v>
      </c>
    </row>
    <row r="860" spans="1:3">
      <c r="A860" s="15">
        <v>101.9</v>
      </c>
      <c r="B860" s="45">
        <f t="shared" si="51"/>
        <v>11.38</v>
      </c>
      <c r="C860">
        <v>39</v>
      </c>
    </row>
    <row r="861" spans="1:3">
      <c r="A861" s="15">
        <v>102</v>
      </c>
      <c r="B861" s="46">
        <f>'4_Anzeichnungsprotokoll'!E47</f>
        <v>11.4</v>
      </c>
      <c r="C861" s="18">
        <v>0</v>
      </c>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8" tint="0.79998168889431442"/>
  </sheetPr>
  <dimension ref="B1:BI209"/>
  <sheetViews>
    <sheetView topLeftCell="T1" zoomScale="86" zoomScaleNormal="86" workbookViewId="0">
      <selection activeCell="AG30" sqref="AG30"/>
    </sheetView>
  </sheetViews>
  <sheetFormatPr baseColWidth="10" defaultRowHeight="12.75"/>
  <cols>
    <col min="1" max="1" width="1.7109375" style="317" customWidth="1"/>
    <col min="2" max="2" width="34.28515625" style="317" bestFit="1" customWidth="1"/>
    <col min="3" max="3" width="3" style="317" bestFit="1" customWidth="1"/>
    <col min="4" max="4" width="7.85546875" style="317" customWidth="1"/>
    <col min="5" max="5" width="7.42578125" style="2" customWidth="1"/>
    <col min="6" max="7" width="9.140625" style="2" bestFit="1" customWidth="1"/>
    <col min="8" max="8" width="9.85546875" style="2" bestFit="1" customWidth="1"/>
    <col min="9" max="9" width="9.140625" style="2" bestFit="1" customWidth="1"/>
    <col min="10" max="10" width="7.42578125" style="2" customWidth="1"/>
    <col min="11" max="11" width="1.7109375" style="317" customWidth="1"/>
    <col min="12" max="12" width="8" style="317" customWidth="1"/>
    <col min="13" max="13" width="7" style="317" customWidth="1"/>
    <col min="14" max="14" width="6.7109375" style="317" bestFit="1" customWidth="1"/>
    <col min="15" max="18" width="9.140625" style="317" bestFit="1" customWidth="1"/>
    <col min="19" max="19" width="2.85546875" style="317" customWidth="1"/>
    <col min="20" max="20" width="5.140625" style="317" customWidth="1"/>
    <col min="21" max="21" width="3.140625" style="317" bestFit="1" customWidth="1"/>
    <col min="22" max="22" width="10.5703125" style="317" customWidth="1"/>
    <col min="23" max="23" width="9" style="317" bestFit="1" customWidth="1"/>
    <col min="24" max="24" width="9.140625" style="317" customWidth="1"/>
    <col min="25" max="25" width="9" style="317" bestFit="1" customWidth="1"/>
    <col min="26" max="26" width="9" style="317" customWidth="1"/>
    <col min="27" max="27" width="6.7109375" style="317" customWidth="1"/>
    <col min="28" max="28" width="29.42578125" style="330" bestFit="1" customWidth="1"/>
    <col min="29" max="29" width="8.7109375" style="330" bestFit="1" customWidth="1"/>
    <col min="30" max="30" width="70.28515625" style="330" bestFit="1" customWidth="1"/>
    <col min="31" max="31" width="6.28515625" style="330" bestFit="1" customWidth="1"/>
    <col min="32" max="32" width="11.42578125" style="330"/>
    <col min="33" max="33" width="64" style="330" bestFit="1" customWidth="1"/>
    <col min="34" max="34" width="6" style="317" bestFit="1" customWidth="1"/>
    <col min="35" max="35" width="11.42578125" style="317"/>
    <col min="36" max="36" width="12.28515625" style="317" bestFit="1" customWidth="1"/>
    <col min="37" max="38" width="12.85546875" style="317" bestFit="1" customWidth="1"/>
    <col min="39" max="39" width="2.140625" style="317" customWidth="1"/>
    <col min="40" max="40" width="17" style="317" customWidth="1"/>
    <col min="41" max="41" width="9.5703125" style="317" customWidth="1"/>
    <col min="42" max="43" width="6.140625" style="317" customWidth="1"/>
    <col min="44" max="47" width="10.7109375" style="317" customWidth="1"/>
    <col min="48" max="48" width="17.140625" style="317" customWidth="1"/>
    <col min="49" max="50" width="6.140625" style="317" customWidth="1"/>
    <col min="51" max="51" width="16.85546875" style="317" customWidth="1"/>
    <col min="52" max="53" width="6.140625" style="317" customWidth="1"/>
    <col min="54" max="54" width="15.140625" style="317" customWidth="1"/>
    <col min="55" max="55" width="2.28515625" style="317" customWidth="1"/>
    <col min="56" max="56" width="36.42578125" style="317" bestFit="1" customWidth="1"/>
    <col min="57" max="57" width="3" style="317" bestFit="1" customWidth="1"/>
    <col min="58" max="58" width="6.7109375" style="317" bestFit="1" customWidth="1"/>
    <col min="59" max="59" width="11.42578125" style="317"/>
    <col min="60" max="60" width="13.85546875" style="317" bestFit="1" customWidth="1"/>
    <col min="61" max="61" width="5" style="317" bestFit="1" customWidth="1"/>
    <col min="62" max="16384" width="11.42578125" style="317"/>
  </cols>
  <sheetData>
    <row r="1" spans="2:61">
      <c r="B1" s="360" t="s">
        <v>137</v>
      </c>
      <c r="D1" s="1284" t="s">
        <v>15</v>
      </c>
      <c r="E1" s="1284"/>
      <c r="F1" s="1284"/>
      <c r="G1" s="1284"/>
      <c r="H1" s="1284"/>
      <c r="I1" s="1284"/>
      <c r="J1" s="1284"/>
      <c r="L1" s="1284" t="s">
        <v>17</v>
      </c>
      <c r="M1" s="1284"/>
      <c r="N1" s="1284"/>
      <c r="O1" s="1284"/>
      <c r="P1" s="1284"/>
      <c r="Q1" s="1284"/>
      <c r="R1" s="1284"/>
      <c r="T1" s="1284" t="s">
        <v>735</v>
      </c>
      <c r="U1" s="1284"/>
      <c r="V1" s="1284"/>
      <c r="W1" s="1284"/>
      <c r="X1" s="1284"/>
      <c r="Y1" s="1284"/>
      <c r="Z1" s="1284"/>
      <c r="AB1" s="1" t="s">
        <v>137</v>
      </c>
      <c r="AC1" s="426"/>
      <c r="AD1" s="426" t="s">
        <v>924</v>
      </c>
      <c r="AE1" s="426" t="s">
        <v>925</v>
      </c>
      <c r="AG1" s="330" t="s">
        <v>948</v>
      </c>
      <c r="AH1" s="317" t="s">
        <v>925</v>
      </c>
      <c r="AJ1" s="317" t="s">
        <v>966</v>
      </c>
      <c r="AK1" s="317" t="s">
        <v>967</v>
      </c>
      <c r="AL1" s="317" t="s">
        <v>968</v>
      </c>
      <c r="AN1" s="1285" t="s">
        <v>564</v>
      </c>
      <c r="AO1" s="1285" t="s">
        <v>970</v>
      </c>
      <c r="AP1" s="1285" t="s">
        <v>973</v>
      </c>
      <c r="AQ1" s="1285" t="s">
        <v>974</v>
      </c>
      <c r="AR1" s="1285" t="s">
        <v>971</v>
      </c>
      <c r="AS1" s="1285" t="s">
        <v>1014</v>
      </c>
      <c r="AT1" s="1285" t="s">
        <v>1015</v>
      </c>
      <c r="AU1" s="1285" t="s">
        <v>1016</v>
      </c>
      <c r="AV1" s="1285" t="s">
        <v>972</v>
      </c>
      <c r="AW1" s="1285" t="s">
        <v>975</v>
      </c>
      <c r="AX1" s="1285" t="s">
        <v>976</v>
      </c>
      <c r="AY1" s="1285" t="s">
        <v>977</v>
      </c>
      <c r="AZ1" s="1285" t="s">
        <v>978</v>
      </c>
      <c r="BA1" s="1285" t="s">
        <v>979</v>
      </c>
      <c r="BB1" s="1285" t="s">
        <v>980</v>
      </c>
      <c r="BD1" s="317" t="s">
        <v>982</v>
      </c>
      <c r="BH1" s="317" t="s">
        <v>989</v>
      </c>
    </row>
    <row r="2" spans="2:61">
      <c r="AB2"/>
      <c r="AN2" s="1285"/>
      <c r="AO2" s="1285"/>
      <c r="AP2" s="1285"/>
      <c r="AQ2" s="1285"/>
      <c r="AR2" s="1285"/>
      <c r="AS2" s="1285"/>
      <c r="AT2" s="1285"/>
      <c r="AU2" s="1285"/>
      <c r="AV2" s="1285"/>
      <c r="AW2" s="1285"/>
      <c r="AX2" s="1285"/>
      <c r="AY2" s="1285"/>
      <c r="AZ2" s="1285"/>
      <c r="BA2" s="1285"/>
      <c r="BB2" s="1285"/>
    </row>
    <row r="3" spans="2:61" ht="14.25">
      <c r="D3" s="1278" t="s">
        <v>736</v>
      </c>
      <c r="E3" s="1278"/>
      <c r="F3" s="1278"/>
      <c r="G3" s="1278"/>
      <c r="H3" s="1278"/>
      <c r="I3" s="1278"/>
      <c r="J3" s="1278"/>
      <c r="L3" s="1278" t="s">
        <v>737</v>
      </c>
      <c r="M3" s="1278"/>
      <c r="N3" s="1278"/>
      <c r="O3" s="1278"/>
      <c r="P3" s="1278"/>
      <c r="Q3" s="1278"/>
      <c r="R3" s="1278"/>
      <c r="T3" s="1278" t="s">
        <v>738</v>
      </c>
      <c r="U3" s="1278"/>
      <c r="V3" s="1278"/>
      <c r="W3" s="1278"/>
      <c r="X3" s="1278"/>
      <c r="Y3" s="1278"/>
      <c r="Z3" s="1278"/>
      <c r="AB3" s="151" t="s">
        <v>45</v>
      </c>
      <c r="AD3" s="438" t="s">
        <v>913</v>
      </c>
      <c r="AE3">
        <v>2000</v>
      </c>
      <c r="AG3" s="438" t="s">
        <v>928</v>
      </c>
      <c r="AH3">
        <v>2000</v>
      </c>
      <c r="AN3" s="1285"/>
      <c r="AO3" s="1285"/>
      <c r="AP3" s="1285"/>
      <c r="AQ3" s="1285"/>
      <c r="AR3" s="1285"/>
      <c r="AS3" s="1285"/>
      <c r="AT3" s="1285"/>
      <c r="AU3" s="1285"/>
      <c r="AV3" s="1285"/>
      <c r="AW3" s="1285"/>
      <c r="AX3" s="1285"/>
      <c r="AY3" s="1285"/>
      <c r="AZ3" s="1285"/>
      <c r="BA3" s="1285"/>
      <c r="BB3" s="1285"/>
      <c r="BD3" s="317" t="s">
        <v>983</v>
      </c>
      <c r="BE3" s="317">
        <v>50</v>
      </c>
      <c r="BF3" s="317" t="s">
        <v>985</v>
      </c>
      <c r="BH3" s="317" t="s">
        <v>990</v>
      </c>
      <c r="BI3" s="317">
        <v>1200</v>
      </c>
    </row>
    <row r="4" spans="2:61" ht="14.25">
      <c r="D4" s="1279" t="s">
        <v>9</v>
      </c>
      <c r="E4" s="1279"/>
      <c r="F4" s="1279"/>
      <c r="G4" s="1279"/>
      <c r="H4" s="1279"/>
      <c r="I4" s="1279"/>
      <c r="J4" s="1279"/>
      <c r="L4" s="1279" t="s">
        <v>9</v>
      </c>
      <c r="M4" s="1279"/>
      <c r="N4" s="1279"/>
      <c r="O4" s="1279"/>
      <c r="P4" s="1279"/>
      <c r="Q4" s="1279"/>
      <c r="R4" s="1279"/>
      <c r="T4" s="398"/>
      <c r="U4" s="77"/>
      <c r="V4" s="1279" t="s">
        <v>9</v>
      </c>
      <c r="W4" s="1279"/>
      <c r="X4" s="1279"/>
      <c r="Y4" s="1279"/>
      <c r="Z4" s="1279"/>
      <c r="AB4" s="151" t="s">
        <v>30</v>
      </c>
      <c r="AC4" s="425"/>
      <c r="AD4" s="438" t="s">
        <v>914</v>
      </c>
      <c r="AE4">
        <v>2000</v>
      </c>
      <c r="AG4" s="438" t="s">
        <v>929</v>
      </c>
      <c r="AH4">
        <v>2000</v>
      </c>
      <c r="AJ4" s="441">
        <v>0</v>
      </c>
      <c r="AK4" s="441">
        <v>0</v>
      </c>
      <c r="AL4" s="442">
        <v>0</v>
      </c>
      <c r="AN4" s="1285"/>
      <c r="AO4" s="1285"/>
      <c r="AP4" s="1285"/>
      <c r="AQ4" s="1285"/>
      <c r="AR4" s="1285"/>
      <c r="AS4" s="1285"/>
      <c r="AT4" s="1285"/>
      <c r="AU4" s="1285"/>
      <c r="AV4" s="1285"/>
      <c r="AW4" s="1285"/>
      <c r="AX4" s="1285"/>
      <c r="AY4" s="1285"/>
      <c r="AZ4" s="1285"/>
      <c r="BA4" s="1285"/>
      <c r="BB4" s="1285"/>
      <c r="BD4" s="317" t="s">
        <v>984</v>
      </c>
      <c r="BE4" s="317">
        <v>35</v>
      </c>
      <c r="BF4" s="317" t="s">
        <v>985</v>
      </c>
      <c r="BH4" s="317" t="s">
        <v>991</v>
      </c>
      <c r="BI4" s="317">
        <v>600</v>
      </c>
    </row>
    <row r="5" spans="2:61" ht="14.25">
      <c r="D5" s="1280" t="s">
        <v>10</v>
      </c>
      <c r="E5" s="78"/>
      <c r="F5" s="78">
        <v>1</v>
      </c>
      <c r="G5" s="78">
        <v>2</v>
      </c>
      <c r="H5" s="78">
        <v>3</v>
      </c>
      <c r="I5" s="78">
        <v>4</v>
      </c>
      <c r="J5" s="78">
        <v>5</v>
      </c>
      <c r="L5" s="1280" t="s">
        <v>10</v>
      </c>
      <c r="M5" s="78"/>
      <c r="N5" s="78">
        <v>1</v>
      </c>
      <c r="O5" s="78">
        <v>2</v>
      </c>
      <c r="P5" s="78">
        <v>3</v>
      </c>
      <c r="Q5" s="78">
        <v>4</v>
      </c>
      <c r="R5" s="78">
        <v>5</v>
      </c>
      <c r="T5" s="398"/>
      <c r="U5" s="78"/>
      <c r="V5" s="78">
        <v>1</v>
      </c>
      <c r="W5" s="78">
        <v>2</v>
      </c>
      <c r="X5" s="78">
        <v>3</v>
      </c>
      <c r="Y5" s="78">
        <v>4</v>
      </c>
      <c r="Z5" s="78">
        <v>5</v>
      </c>
      <c r="AB5" s="151" t="s">
        <v>107</v>
      </c>
      <c r="AC5" s="425"/>
      <c r="AD5" s="438" t="s">
        <v>915</v>
      </c>
      <c r="AE5">
        <v>2000</v>
      </c>
      <c r="AF5"/>
      <c r="AG5" s="438" t="s">
        <v>930</v>
      </c>
      <c r="AH5">
        <v>2000</v>
      </c>
      <c r="AJ5" s="441">
        <v>0.2</v>
      </c>
      <c r="AK5" s="441">
        <v>0.2</v>
      </c>
      <c r="AL5" s="442">
        <v>0.2</v>
      </c>
      <c r="AN5" s="1285"/>
      <c r="AO5" s="1285"/>
      <c r="AP5" s="1285"/>
      <c r="AQ5" s="1285"/>
      <c r="AR5" s="1285"/>
      <c r="AS5" s="1285"/>
      <c r="AT5" s="1285"/>
      <c r="AU5" s="1285"/>
      <c r="AV5" s="1285"/>
      <c r="AW5" s="1285"/>
      <c r="AX5" s="1285"/>
      <c r="AY5" s="1285"/>
      <c r="AZ5" s="1285"/>
      <c r="BA5" s="1285"/>
      <c r="BB5" s="1285"/>
      <c r="BD5" s="317" t="s">
        <v>1017</v>
      </c>
      <c r="BE5" s="317">
        <v>28</v>
      </c>
      <c r="BF5" s="317" t="s">
        <v>986</v>
      </c>
    </row>
    <row r="6" spans="2:61" ht="14.25" customHeight="1">
      <c r="D6" s="1280"/>
      <c r="E6" s="78">
        <v>1</v>
      </c>
      <c r="F6" s="77">
        <v>50</v>
      </c>
      <c r="G6" s="77">
        <v>45</v>
      </c>
      <c r="H6" s="77">
        <v>40</v>
      </c>
      <c r="I6" s="77">
        <v>36</v>
      </c>
      <c r="J6" s="77">
        <v>34</v>
      </c>
      <c r="L6" s="1280"/>
      <c r="M6" s="78">
        <v>1</v>
      </c>
      <c r="N6" s="77">
        <v>17</v>
      </c>
      <c r="O6" s="77">
        <v>14</v>
      </c>
      <c r="P6" s="77">
        <v>12</v>
      </c>
      <c r="Q6" s="77">
        <v>11</v>
      </c>
      <c r="R6" s="77">
        <v>10</v>
      </c>
      <c r="T6" s="1280" t="s">
        <v>739</v>
      </c>
      <c r="U6" s="78">
        <v>1</v>
      </c>
      <c r="V6" s="77">
        <v>57</v>
      </c>
      <c r="W6" s="77">
        <v>59</v>
      </c>
      <c r="X6" s="77">
        <v>62</v>
      </c>
      <c r="Y6" s="77">
        <v>66</v>
      </c>
      <c r="Z6" s="77">
        <v>76</v>
      </c>
      <c r="AB6" s="151" t="s">
        <v>256</v>
      </c>
      <c r="AD6" s="438" t="s">
        <v>916</v>
      </c>
      <c r="AE6">
        <v>2000</v>
      </c>
      <c r="AF6"/>
      <c r="AG6" s="438" t="s">
        <v>931</v>
      </c>
      <c r="AH6">
        <v>2000</v>
      </c>
      <c r="AI6"/>
      <c r="AJ6"/>
      <c r="AK6"/>
      <c r="AL6" s="442">
        <v>0.4</v>
      </c>
      <c r="AN6" s="1285"/>
      <c r="AO6" s="1285"/>
      <c r="AP6" s="1285"/>
      <c r="AQ6" s="1285"/>
      <c r="AR6" s="1285"/>
      <c r="AS6" s="1285"/>
      <c r="AT6" s="1285"/>
      <c r="AU6" s="1285"/>
      <c r="AV6" s="1285"/>
      <c r="AW6" s="1285"/>
      <c r="AX6" s="1285"/>
      <c r="AY6" s="1285"/>
      <c r="AZ6" s="1285"/>
      <c r="BA6" s="1285"/>
      <c r="BB6" s="1285"/>
    </row>
    <row r="7" spans="2:61" ht="14.25">
      <c r="D7" s="1280"/>
      <c r="E7" s="78">
        <v>2</v>
      </c>
      <c r="F7" s="77">
        <v>54</v>
      </c>
      <c r="G7" s="77">
        <v>48</v>
      </c>
      <c r="H7" s="77">
        <v>43</v>
      </c>
      <c r="I7" s="77">
        <v>39</v>
      </c>
      <c r="J7" s="77">
        <v>36</v>
      </c>
      <c r="L7" s="1280"/>
      <c r="M7" s="78">
        <v>2</v>
      </c>
      <c r="N7" s="77">
        <v>20</v>
      </c>
      <c r="O7" s="77">
        <v>18</v>
      </c>
      <c r="P7" s="77">
        <v>16</v>
      </c>
      <c r="Q7" s="77">
        <v>15</v>
      </c>
      <c r="R7" s="77">
        <v>14</v>
      </c>
      <c r="T7" s="1280"/>
      <c r="U7" s="78">
        <v>2</v>
      </c>
      <c r="V7" s="77">
        <v>50</v>
      </c>
      <c r="W7" s="77">
        <v>50</v>
      </c>
      <c r="X7" s="77">
        <v>50</v>
      </c>
      <c r="Y7" s="77">
        <v>50</v>
      </c>
      <c r="Z7" s="77">
        <v>50</v>
      </c>
      <c r="AB7" s="151" t="s">
        <v>257</v>
      </c>
      <c r="AD7" s="438" t="s">
        <v>917</v>
      </c>
      <c r="AE7">
        <v>2000</v>
      </c>
      <c r="AF7"/>
      <c r="AG7" s="438" t="s">
        <v>932</v>
      </c>
      <c r="AH7">
        <v>2200</v>
      </c>
      <c r="AI7"/>
      <c r="AJ7"/>
      <c r="AK7"/>
      <c r="AN7" s="1285"/>
      <c r="AO7" s="1285"/>
      <c r="AP7" s="1285"/>
      <c r="AQ7" s="1285"/>
      <c r="AR7" s="1285"/>
      <c r="AS7" s="1285"/>
      <c r="AT7" s="1285"/>
      <c r="AU7" s="1285"/>
      <c r="AV7" s="1285"/>
      <c r="AW7" s="1285"/>
      <c r="AX7" s="1285"/>
      <c r="AY7" s="1285"/>
      <c r="AZ7" s="1285"/>
      <c r="BA7" s="1285"/>
      <c r="BB7" s="1285"/>
    </row>
    <row r="8" spans="2:61" ht="14.25">
      <c r="D8" s="1280"/>
      <c r="E8" s="78">
        <v>3</v>
      </c>
      <c r="F8" s="77">
        <v>57</v>
      </c>
      <c r="G8" s="77">
        <v>53</v>
      </c>
      <c r="H8" s="77">
        <v>48</v>
      </c>
      <c r="I8" s="77">
        <v>43</v>
      </c>
      <c r="J8" s="77">
        <v>40</v>
      </c>
      <c r="L8" s="1280"/>
      <c r="M8" s="78">
        <v>3</v>
      </c>
      <c r="N8" s="77">
        <v>27</v>
      </c>
      <c r="O8" s="77">
        <v>25</v>
      </c>
      <c r="P8" s="77">
        <v>22</v>
      </c>
      <c r="Q8" s="77">
        <v>20</v>
      </c>
      <c r="R8" s="77">
        <v>19</v>
      </c>
      <c r="T8" s="1280"/>
      <c r="U8" s="78">
        <v>3</v>
      </c>
      <c r="V8" s="77">
        <v>54</v>
      </c>
      <c r="W8" s="77">
        <v>56</v>
      </c>
      <c r="X8" s="77">
        <v>57</v>
      </c>
      <c r="Y8" s="77">
        <v>61</v>
      </c>
      <c r="Z8" s="77">
        <v>69</v>
      </c>
      <c r="AB8" s="152"/>
      <c r="AD8" s="438" t="s">
        <v>918</v>
      </c>
      <c r="AE8" s="330">
        <v>2500</v>
      </c>
      <c r="AG8" s="438" t="s">
        <v>933</v>
      </c>
      <c r="AH8" s="317">
        <v>2200</v>
      </c>
      <c r="AI8"/>
      <c r="AN8" s="1285"/>
      <c r="AO8" s="1285"/>
      <c r="AP8" s="1285"/>
      <c r="AQ8" s="1285"/>
      <c r="AR8" s="1285"/>
      <c r="AS8" s="1285"/>
      <c r="AT8" s="1285"/>
      <c r="AU8" s="1285"/>
      <c r="AV8" s="1285"/>
      <c r="AW8" s="1285"/>
      <c r="AX8" s="1285"/>
      <c r="AY8" s="1285"/>
      <c r="AZ8" s="1285"/>
      <c r="BA8" s="1285"/>
      <c r="BB8" s="1285"/>
    </row>
    <row r="9" spans="2:61" ht="14.25">
      <c r="B9" s="372"/>
      <c r="D9" s="1280"/>
      <c r="E9" s="78">
        <v>4</v>
      </c>
      <c r="F9" s="77">
        <v>70</v>
      </c>
      <c r="G9" s="77">
        <v>63</v>
      </c>
      <c r="H9" s="77">
        <v>56</v>
      </c>
      <c r="I9" s="77">
        <v>50</v>
      </c>
      <c r="J9" s="77">
        <v>46</v>
      </c>
      <c r="L9" s="1280"/>
      <c r="M9" s="78">
        <v>4</v>
      </c>
      <c r="N9" s="77">
        <v>27</v>
      </c>
      <c r="O9" s="77">
        <v>25</v>
      </c>
      <c r="P9" s="77">
        <v>22</v>
      </c>
      <c r="Q9" s="77">
        <v>20</v>
      </c>
      <c r="R9" s="77">
        <v>19</v>
      </c>
      <c r="T9" s="1280"/>
      <c r="U9" s="78">
        <v>4</v>
      </c>
      <c r="V9" s="77">
        <v>52</v>
      </c>
      <c r="W9" s="77">
        <v>53</v>
      </c>
      <c r="X9" s="77">
        <v>54</v>
      </c>
      <c r="Y9" s="77">
        <v>57</v>
      </c>
      <c r="Z9" s="77">
        <v>63</v>
      </c>
      <c r="AB9"/>
      <c r="AD9" s="438" t="s">
        <v>919</v>
      </c>
      <c r="AE9" s="330">
        <v>3000</v>
      </c>
      <c r="AG9" s="438" t="s">
        <v>934</v>
      </c>
      <c r="AH9" s="317">
        <v>2200</v>
      </c>
      <c r="AI9"/>
      <c r="AN9" s="1285"/>
      <c r="AO9" s="1285"/>
      <c r="AP9" s="1285"/>
      <c r="AQ9" s="1285"/>
      <c r="AR9" s="1285"/>
      <c r="AS9" s="1285"/>
      <c r="AT9" s="1285"/>
      <c r="AU9" s="1285"/>
      <c r="AV9" s="1285"/>
      <c r="AW9" s="1285"/>
      <c r="AX9" s="1285"/>
      <c r="AY9" s="1285"/>
      <c r="AZ9" s="1285"/>
      <c r="BA9" s="1285"/>
      <c r="BB9" s="1285"/>
    </row>
    <row r="10" spans="2:61" ht="14.25">
      <c r="T10" s="1280"/>
      <c r="U10" s="78">
        <v>5</v>
      </c>
      <c r="V10" s="77">
        <v>50</v>
      </c>
      <c r="W10" s="77">
        <v>52</v>
      </c>
      <c r="X10" s="77">
        <v>52</v>
      </c>
      <c r="Y10" s="77">
        <v>53</v>
      </c>
      <c r="Z10" s="77">
        <v>60</v>
      </c>
      <c r="AB10" s="151" t="s">
        <v>658</v>
      </c>
      <c r="AD10" s="438" t="s">
        <v>920</v>
      </c>
      <c r="AE10" s="330">
        <v>3000</v>
      </c>
      <c r="AG10" s="438" t="s">
        <v>935</v>
      </c>
      <c r="AH10" s="317">
        <v>2200</v>
      </c>
      <c r="AI10"/>
      <c r="AN10" s="1285"/>
      <c r="AO10" s="1285"/>
      <c r="AP10" s="1285"/>
      <c r="AQ10" s="1285"/>
      <c r="AR10" s="1285"/>
      <c r="AS10" s="1285"/>
      <c r="AT10" s="1285"/>
      <c r="AU10" s="1285"/>
      <c r="AV10" s="1285"/>
      <c r="AW10" s="1285"/>
      <c r="AX10" s="1285"/>
      <c r="AY10" s="1285"/>
      <c r="AZ10" s="1285"/>
      <c r="BA10" s="1285"/>
      <c r="BB10" s="1285"/>
    </row>
    <row r="11" spans="2:61" ht="14.25">
      <c r="D11" s="1278" t="s">
        <v>741</v>
      </c>
      <c r="E11" s="1278"/>
      <c r="F11" s="1278"/>
      <c r="G11" s="1278"/>
      <c r="H11" s="1278"/>
      <c r="I11" s="1278"/>
      <c r="J11" s="1278"/>
      <c r="L11" s="1278" t="s">
        <v>742</v>
      </c>
      <c r="M11" s="1278"/>
      <c r="N11" s="1278"/>
      <c r="O11" s="1278"/>
      <c r="P11" s="1278"/>
      <c r="Q11" s="1278"/>
      <c r="R11" s="1278"/>
      <c r="T11" s="1280"/>
      <c r="U11" s="78">
        <v>6</v>
      </c>
      <c r="V11" s="77">
        <v>45</v>
      </c>
      <c r="W11" s="77">
        <v>45</v>
      </c>
      <c r="X11" s="77">
        <v>45</v>
      </c>
      <c r="Y11" s="77">
        <v>45</v>
      </c>
      <c r="Z11" s="77">
        <v>45</v>
      </c>
      <c r="AB11" s="151" t="s">
        <v>659</v>
      </c>
      <c r="AD11" s="438" t="s">
        <v>921</v>
      </c>
      <c r="AE11" s="330">
        <v>3000</v>
      </c>
      <c r="AG11" s="438" t="s">
        <v>936</v>
      </c>
      <c r="AH11" s="317">
        <v>2400</v>
      </c>
      <c r="AI11"/>
      <c r="AN11" s="1285"/>
      <c r="AO11" s="1285"/>
      <c r="AP11" s="1285"/>
      <c r="AQ11" s="1285"/>
      <c r="AR11" s="1285"/>
      <c r="AS11" s="1285"/>
      <c r="AT11" s="1285"/>
      <c r="AU11" s="1285"/>
      <c r="AV11" s="1285"/>
      <c r="AW11" s="1285"/>
      <c r="AX11" s="1285"/>
      <c r="AY11" s="1285"/>
      <c r="AZ11" s="1285"/>
      <c r="BA11" s="1285"/>
      <c r="BB11" s="1285"/>
    </row>
    <row r="12" spans="2:61" ht="14.25">
      <c r="D12" s="1279" t="s">
        <v>9</v>
      </c>
      <c r="E12" s="1279"/>
      <c r="F12" s="1279"/>
      <c r="G12" s="1279"/>
      <c r="H12" s="1279"/>
      <c r="I12" s="1279"/>
      <c r="J12" s="1279"/>
      <c r="L12" s="1279" t="s">
        <v>9</v>
      </c>
      <c r="M12" s="1279"/>
      <c r="N12" s="1279"/>
      <c r="O12" s="1279"/>
      <c r="P12" s="1279"/>
      <c r="Q12" s="1279"/>
      <c r="R12" s="1279"/>
      <c r="T12" s="1280"/>
      <c r="U12" s="78">
        <v>7</v>
      </c>
      <c r="V12" s="77">
        <v>45</v>
      </c>
      <c r="W12" s="77">
        <v>45</v>
      </c>
      <c r="X12" s="77">
        <v>45</v>
      </c>
      <c r="Y12" s="77">
        <v>45</v>
      </c>
      <c r="Z12" s="77">
        <v>45</v>
      </c>
      <c r="AB12" s="151" t="s">
        <v>660</v>
      </c>
      <c r="AD12" s="438" t="s">
        <v>1027</v>
      </c>
      <c r="AE12" s="330">
        <v>7800</v>
      </c>
      <c r="AG12" s="438" t="s">
        <v>937</v>
      </c>
      <c r="AH12" s="317">
        <v>2400</v>
      </c>
      <c r="AI12"/>
      <c r="AN12" s="1285"/>
      <c r="AO12" s="1285"/>
      <c r="AP12" s="1285"/>
      <c r="AQ12" s="1285"/>
      <c r="AR12" s="1285"/>
      <c r="AS12" s="1285"/>
      <c r="AT12" s="1285"/>
      <c r="AU12" s="1285"/>
      <c r="AV12" s="1285"/>
      <c r="AW12" s="1285"/>
      <c r="AX12" s="1285"/>
      <c r="AY12" s="1285"/>
      <c r="AZ12" s="1285"/>
      <c r="BA12" s="1285"/>
      <c r="BB12" s="1285"/>
    </row>
    <row r="13" spans="2:61" ht="14.25">
      <c r="B13" s="372"/>
      <c r="D13" s="1280" t="s">
        <v>10</v>
      </c>
      <c r="E13" s="78"/>
      <c r="F13" s="78">
        <v>1</v>
      </c>
      <c r="G13" s="78">
        <v>2</v>
      </c>
      <c r="H13" s="78">
        <v>3</v>
      </c>
      <c r="I13" s="78">
        <v>4</v>
      </c>
      <c r="J13" s="78">
        <v>5</v>
      </c>
      <c r="L13" s="1280" t="s">
        <v>21</v>
      </c>
      <c r="M13" s="78"/>
      <c r="N13" s="78">
        <v>1</v>
      </c>
      <c r="O13" s="78">
        <v>2</v>
      </c>
      <c r="P13" s="78">
        <v>3</v>
      </c>
      <c r="Q13" s="78">
        <v>4</v>
      </c>
      <c r="R13" s="78">
        <v>5</v>
      </c>
      <c r="T13" s="1280"/>
      <c r="U13" s="78">
        <v>8</v>
      </c>
      <c r="V13" s="77">
        <v>45</v>
      </c>
      <c r="W13" s="77">
        <v>45</v>
      </c>
      <c r="X13" s="77">
        <v>45</v>
      </c>
      <c r="Y13" s="77">
        <v>45</v>
      </c>
      <c r="Z13" s="77">
        <v>45</v>
      </c>
      <c r="AB13" s="151"/>
      <c r="AD13" s="438" t="s">
        <v>922</v>
      </c>
      <c r="AE13" s="330">
        <v>10000</v>
      </c>
      <c r="AG13" s="438" t="s">
        <v>938</v>
      </c>
      <c r="AH13" s="317">
        <v>2400</v>
      </c>
      <c r="AI13" s="439"/>
      <c r="AN13" s="1285"/>
      <c r="AO13" s="1285"/>
      <c r="AP13" s="1285"/>
      <c r="AQ13" s="1285"/>
      <c r="AR13" s="1285"/>
      <c r="AS13" s="1285"/>
      <c r="AT13" s="1285"/>
      <c r="AU13" s="1285"/>
      <c r="AV13" s="1285"/>
      <c r="AW13" s="1285"/>
      <c r="AX13" s="1285"/>
      <c r="AY13" s="1285"/>
      <c r="AZ13" s="1285"/>
      <c r="BA13" s="1285"/>
      <c r="BB13" s="1285"/>
    </row>
    <row r="14" spans="2:61" ht="12.75" customHeight="1">
      <c r="D14" s="1280"/>
      <c r="E14" s="78">
        <v>1</v>
      </c>
      <c r="F14" s="77">
        <v>0</v>
      </c>
      <c r="G14" s="77">
        <v>0</v>
      </c>
      <c r="H14" s="77">
        <v>0</v>
      </c>
      <c r="I14" s="77">
        <v>0</v>
      </c>
      <c r="J14" s="77">
        <v>0</v>
      </c>
      <c r="L14" s="1280"/>
      <c r="M14" s="78">
        <v>1</v>
      </c>
      <c r="N14" s="77">
        <v>0</v>
      </c>
      <c r="O14" s="77">
        <v>0</v>
      </c>
      <c r="P14" s="77">
        <v>0</v>
      </c>
      <c r="Q14" s="77">
        <v>0</v>
      </c>
      <c r="R14" s="77">
        <v>0</v>
      </c>
      <c r="T14" s="329"/>
      <c r="U14" s="329"/>
      <c r="V14" s="329"/>
      <c r="W14" s="329"/>
      <c r="X14" s="329"/>
      <c r="Y14" s="329"/>
      <c r="Z14" s="329"/>
      <c r="AB14"/>
      <c r="AD14" s="438" t="s">
        <v>923</v>
      </c>
      <c r="AE14" s="330">
        <v>10000</v>
      </c>
      <c r="AG14" s="438" t="s">
        <v>939</v>
      </c>
      <c r="AH14" s="317">
        <v>2400</v>
      </c>
      <c r="AI14"/>
      <c r="AN14" s="1285"/>
      <c r="AO14" s="1285"/>
      <c r="AP14" s="1285"/>
      <c r="AQ14" s="1285"/>
      <c r="AR14" s="1285"/>
      <c r="AS14" s="1285"/>
      <c r="AT14" s="1285"/>
      <c r="AU14" s="1285"/>
      <c r="AV14" s="1285"/>
      <c r="AW14" s="1285"/>
      <c r="AX14" s="1285"/>
      <c r="AY14" s="1285"/>
      <c r="AZ14" s="1285"/>
      <c r="BA14" s="1285"/>
      <c r="BB14" s="1285"/>
    </row>
    <row r="15" spans="2:61">
      <c r="D15" s="1280"/>
      <c r="E15" s="78">
        <v>2</v>
      </c>
      <c r="F15" s="77">
        <v>4</v>
      </c>
      <c r="G15" s="77">
        <v>4</v>
      </c>
      <c r="H15" s="77">
        <v>4</v>
      </c>
      <c r="I15" s="77">
        <v>4</v>
      </c>
      <c r="J15" s="77">
        <v>4</v>
      </c>
      <c r="L15" s="1280"/>
      <c r="M15" s="78">
        <v>2</v>
      </c>
      <c r="N15" s="77">
        <v>12</v>
      </c>
      <c r="O15" s="77">
        <v>11</v>
      </c>
      <c r="P15" s="77">
        <v>11</v>
      </c>
      <c r="Q15" s="77">
        <v>10</v>
      </c>
      <c r="R15" s="77">
        <v>9</v>
      </c>
      <c r="T15" s="1278" t="s">
        <v>1003</v>
      </c>
      <c r="U15" s="1278"/>
      <c r="V15" s="1278"/>
      <c r="W15" s="1278"/>
      <c r="X15" s="1278"/>
      <c r="Y15" s="1278"/>
      <c r="Z15" s="1278"/>
      <c r="AB15" s="151" t="s">
        <v>674</v>
      </c>
      <c r="AG15" s="440" t="s">
        <v>940</v>
      </c>
      <c r="AH15" s="317">
        <v>4000</v>
      </c>
      <c r="AI15"/>
      <c r="AN15" s="1285"/>
      <c r="AO15" s="1285"/>
      <c r="AP15" s="1285"/>
      <c r="AQ15" s="1285"/>
      <c r="AR15" s="1285"/>
      <c r="AS15" s="1285"/>
      <c r="AT15" s="1285"/>
      <c r="AU15" s="1285"/>
      <c r="AV15" s="1285"/>
      <c r="AW15" s="1285"/>
      <c r="AX15" s="1285"/>
      <c r="AY15" s="1285"/>
      <c r="AZ15" s="1285"/>
      <c r="BA15" s="1285"/>
      <c r="BB15" s="1285"/>
    </row>
    <row r="16" spans="2:61" ht="14.25">
      <c r="D16" s="1280"/>
      <c r="E16" s="78">
        <v>3</v>
      </c>
      <c r="F16" s="77">
        <v>7</v>
      </c>
      <c r="G16" s="77">
        <v>7</v>
      </c>
      <c r="H16" s="77">
        <v>7</v>
      </c>
      <c r="I16" s="77">
        <v>7</v>
      </c>
      <c r="J16" s="77">
        <v>7</v>
      </c>
      <c r="L16" s="1280"/>
      <c r="M16" s="78">
        <v>3</v>
      </c>
      <c r="N16" s="77">
        <v>20</v>
      </c>
      <c r="O16" s="77">
        <v>18</v>
      </c>
      <c r="P16" s="77">
        <v>16</v>
      </c>
      <c r="Q16" s="77">
        <v>15</v>
      </c>
      <c r="R16" s="77">
        <v>15</v>
      </c>
      <c r="T16" s="398"/>
      <c r="U16" s="77"/>
      <c r="V16" s="1279" t="s">
        <v>9</v>
      </c>
      <c r="W16" s="1279"/>
      <c r="X16" s="1279"/>
      <c r="Y16" s="1279"/>
      <c r="Z16" s="1279"/>
      <c r="AB16" s="151" t="s">
        <v>675</v>
      </c>
      <c r="AG16" s="440" t="s">
        <v>941</v>
      </c>
      <c r="AH16" s="317">
        <v>4000</v>
      </c>
      <c r="AN16" s="1285"/>
      <c r="AO16" s="1285"/>
      <c r="AP16" s="1285"/>
      <c r="AQ16" s="1285"/>
      <c r="AR16" s="1285"/>
      <c r="AS16" s="1285"/>
      <c r="AT16" s="1285"/>
      <c r="AU16" s="1285"/>
      <c r="AV16" s="1285"/>
      <c r="AW16" s="1285"/>
      <c r="AX16" s="1285"/>
      <c r="AY16" s="1285"/>
      <c r="AZ16" s="1285"/>
      <c r="BA16" s="1285"/>
      <c r="BB16" s="1285"/>
    </row>
    <row r="17" spans="2:54" ht="14.25">
      <c r="B17" s="317" t="s">
        <v>4</v>
      </c>
      <c r="D17" s="1280"/>
      <c r="E17" s="78">
        <v>4</v>
      </c>
      <c r="F17" s="77">
        <v>10</v>
      </c>
      <c r="G17" s="77">
        <v>10</v>
      </c>
      <c r="H17" s="77">
        <v>10</v>
      </c>
      <c r="I17" s="77">
        <v>10</v>
      </c>
      <c r="J17" s="77">
        <v>10</v>
      </c>
      <c r="L17" s="1280"/>
      <c r="M17" s="78">
        <v>4</v>
      </c>
      <c r="N17" s="77">
        <v>28</v>
      </c>
      <c r="O17" s="77">
        <v>23</v>
      </c>
      <c r="P17" s="77">
        <v>21</v>
      </c>
      <c r="Q17" s="77">
        <v>20</v>
      </c>
      <c r="R17" s="77">
        <v>19</v>
      </c>
      <c r="T17" s="398"/>
      <c r="U17" s="78"/>
      <c r="V17" s="78">
        <v>1</v>
      </c>
      <c r="W17" s="78">
        <v>2</v>
      </c>
      <c r="X17" s="78">
        <v>3</v>
      </c>
      <c r="Y17" s="78">
        <v>4</v>
      </c>
      <c r="Z17" s="78">
        <v>5</v>
      </c>
      <c r="AB17" s="151" t="s">
        <v>676</v>
      </c>
      <c r="AG17" s="440" t="s">
        <v>942</v>
      </c>
      <c r="AH17" s="317">
        <v>4000</v>
      </c>
      <c r="AN17" s="11">
        <f>IF('6_Beitragsgesuch_OSW'!B49=40,0,INDEX('Pauschalansätze etc.'!$AH$3:$AH$41,'6_Beitragsgesuch_OSW'!B49,1))</f>
        <v>0</v>
      </c>
      <c r="AO17" s="84" t="b">
        <f>IF(AND('6_Beitragsgesuch_OSW'!$B49=28),1,IF(AND('6_Beitragsgesuch_OSW'!$B$49=29),1,IF(AND('6_Beitragsgesuch_OSW'!$B49=30),1,IF(AND('6_Beitragsgesuch_OSW'!$B49=31),1,IF(AND('6_Beitragsgesuch_OSW'!$B49=32),1,IF(AND('6_Beitragsgesuch_OSW'!$B49=33),1,IF(AND('6_Beitragsgesuch_OSW'!$B49=34),2,IF(AND('6_Beitragsgesuch_OSW'!$B49=35),2,IF(AND('6_Beitragsgesuch_OSW'!$B49=36),2,IF(AND('6_Beitragsgesuch_OSW'!$B49=37),2,IF(AND('6_Beitragsgesuch_OSW'!$B49=38),2,IF(AND('6_Beitragsgesuch_OSW'!$B49=39),2))))))))))))</f>
        <v>0</v>
      </c>
      <c r="AP17" s="84">
        <f>IF('6_Beitragsgesuch_OSW'!$R49=3,10,0)</f>
        <v>0</v>
      </c>
      <c r="AQ17" s="84">
        <f>AP17+AO17</f>
        <v>0</v>
      </c>
      <c r="AR17" s="11">
        <f>IF(AND(AQ17=11),2000,IF(AND(AQ17=12),3000,0))</f>
        <v>0</v>
      </c>
      <c r="AS17" s="84" t="b">
        <f>IF(AND('6_Beitragsgesuch_OSW'!$B49=1),1,IF(AND('6_Beitragsgesuch_OSW'!$B49=2),1,IF(AND('6_Beitragsgesuch_OSW'!$B49=3),1,IF(AND('6_Beitragsgesuch_OSW'!$B49=4),1,IF(AND('6_Beitragsgesuch_OSW'!$B49=5),1,IF(AND('6_Beitragsgesuch_OSW'!$B49=6),1,IF(AND('6_Beitragsgesuch_OSW'!$B49=7),1,IF(AND('6_Beitragsgesuch_OSW'!$B49=8),1,IF(AND('6_Beitragsgesuch_OSW'!$B49=9),1,IF(AND('6_Beitragsgesuch_OSW'!$B49=10),1,IF(AND('6_Beitragsgesuch_OSW'!$B49=11),1,IF(AND('6_Beitragsgesuch_OSW'!$B49=12),1,IF(AND('6_Beitragsgesuch_OSW'!$B49=13),2,IF(AND('6_Beitragsgesuch_OSW'!$B49=14),2,IF(AND('6_Beitragsgesuch_OSW'!$B49=15),2,IF(AND('6_Beitragsgesuch_OSW'!$B49=16),2,IF(AND('6_Beitragsgesuch_OSW'!$B49=17),2,IF(AND('6_Beitragsgesuch_OSW'!$B49=18),2,IF(AND('6_Beitragsgesuch_OSW'!$B49=19),2,IF(AND('6_Beitragsgesuch_OSW'!$B49=20),2,IF(AND('6_Beitragsgesuch_OSW'!$B49=21),2,IF(AND('6_Beitragsgesuch_OSW'!$B49=22),2,IF(AND('6_Beitragsgesuch_OSW'!$B49=23),2,IF(AND('6_Beitragsgesuch_OSW'!$B49=24),2,IF(AND('6_Beitragsgesuch_OSW'!$B49=25),2,IF(AND('6_Beitragsgesuch_OSW'!$B49=26),2,IF(AND('6_Beitragsgesuch_OSW'!$B49=27),2,IF(AND('6_Beitragsgesuch_OSW'!$B49=28),3,IF(AND('6_Beitragsgesuch_OSW'!$B$49=29),3,IF(AND('6_Beitragsgesuch_OSW'!$B49=30),3,IF(AND('6_Beitragsgesuch_OSW'!$B49=31),3,IF(AND('6_Beitragsgesuch_OSW'!$B49=32),3,IF(AND('6_Beitragsgesuch_OSW'!$B49=33),3,IF(AND('6_Beitragsgesuch_OSW'!$B49=34),4,IF(AND('6_Beitragsgesuch_OSW'!$B49=35),4,IF(AND('6_Beitragsgesuch_OSW'!$B49=36),4,IF(AND('6_Beitragsgesuch_OSW'!$B49=37),4,IF(AND('6_Beitragsgesuch_OSW'!$B49=38),4,IF(AND('6_Beitragsgesuch_OSW'!$B49=39),4)))))))))))))))))))))))))))))))))))))))</f>
        <v>0</v>
      </c>
      <c r="AT17" s="462">
        <f>IF('6_Beitragsgesuch_OSW'!T49=3,10,0)</f>
        <v>0</v>
      </c>
      <c r="AU17" s="84">
        <f>AT17+AS17</f>
        <v>0</v>
      </c>
      <c r="AV17" s="11">
        <f>IF(AND(AU17=11),400,IF(AND(AU17=12),800,IF(AND(AU17=13),2000,IF(AND(AU17=14),3000,0))))</f>
        <v>0</v>
      </c>
      <c r="AW17" s="84">
        <f>IF('6_Beitragsgesuch_OSW'!$V49=3,10,0)</f>
        <v>0</v>
      </c>
      <c r="AX17" s="84">
        <f>AW17+AO17</f>
        <v>0</v>
      </c>
      <c r="AY17" s="11">
        <f>IF(AND(AX17=11),2000,IF(AND(AX17=12),3000,0))</f>
        <v>0</v>
      </c>
      <c r="AZ17" s="84">
        <f>IF('6_Beitragsgesuch_OSW'!$V49=4,10,0)</f>
        <v>0</v>
      </c>
      <c r="BA17" s="84">
        <f>AZ17+AO17</f>
        <v>0</v>
      </c>
      <c r="BB17" s="11">
        <f>IF(AND(BA17=11),4000,IF(AND(BA17=12),6000,0))</f>
        <v>0</v>
      </c>
    </row>
    <row r="18" spans="2:54" ht="14.25" customHeight="1">
      <c r="B18" s="317" t="s">
        <v>5</v>
      </c>
      <c r="L18" s="1280"/>
      <c r="M18" s="78">
        <v>5</v>
      </c>
      <c r="N18" s="77">
        <v>38</v>
      </c>
      <c r="O18" s="77">
        <v>29</v>
      </c>
      <c r="P18" s="77">
        <v>25</v>
      </c>
      <c r="Q18" s="77">
        <v>23</v>
      </c>
      <c r="R18" s="77">
        <v>23</v>
      </c>
      <c r="T18" s="1280" t="s">
        <v>1004</v>
      </c>
      <c r="U18" s="464" t="s">
        <v>45</v>
      </c>
      <c r="V18" s="77">
        <f>V6</f>
        <v>57</v>
      </c>
      <c r="W18" s="77">
        <f t="shared" ref="W18:Z18" si="0">W6</f>
        <v>59</v>
      </c>
      <c r="X18" s="77">
        <f t="shared" si="0"/>
        <v>62</v>
      </c>
      <c r="Y18" s="77">
        <f t="shared" si="0"/>
        <v>66</v>
      </c>
      <c r="Z18" s="77">
        <f t="shared" si="0"/>
        <v>76</v>
      </c>
      <c r="AB18" s="151" t="s">
        <v>677</v>
      </c>
      <c r="AG18" s="440" t="s">
        <v>943</v>
      </c>
      <c r="AH18" s="317">
        <v>4000</v>
      </c>
      <c r="AN18" s="11">
        <f>IF('6_Beitragsgesuch_OSW'!B50=40,0,INDEX('Pauschalansätze etc.'!$AH$3:$AH$41,'6_Beitragsgesuch_OSW'!B50,1))</f>
        <v>0</v>
      </c>
      <c r="AO18" s="84" t="b">
        <f>IF(AND('6_Beitragsgesuch_OSW'!$B50=28),1,IF(AND('6_Beitragsgesuch_OSW'!$B$49=29),1,IF(AND('6_Beitragsgesuch_OSW'!$B50=30),1,IF(AND('6_Beitragsgesuch_OSW'!$B50=31),1,IF(AND('6_Beitragsgesuch_OSW'!$B50=32),1,IF(AND('6_Beitragsgesuch_OSW'!$B50=33),1,IF(AND('6_Beitragsgesuch_OSW'!$B50=34),2,IF(AND('6_Beitragsgesuch_OSW'!$B50=35),2,IF(AND('6_Beitragsgesuch_OSW'!$B50=36),2,IF(AND('6_Beitragsgesuch_OSW'!$B50=37),2,IF(AND('6_Beitragsgesuch_OSW'!$B50=38),2,IF(AND('6_Beitragsgesuch_OSW'!$B50=39),2))))))))))))</f>
        <v>0</v>
      </c>
      <c r="AP18" s="84">
        <f>IF('6_Beitragsgesuch_OSW'!$R50=3,10,0)</f>
        <v>0</v>
      </c>
      <c r="AQ18" s="84">
        <f t="shared" ref="AQ18:AQ20" si="1">AP18+AO18</f>
        <v>0</v>
      </c>
      <c r="AR18" s="11">
        <f t="shared" ref="AR18:AR20" si="2">IF(AND(AQ18=11),2000,IF(AND(AQ18=12),3000,0))</f>
        <v>0</v>
      </c>
      <c r="AS18" s="84" t="b">
        <f>IF(AND('6_Beitragsgesuch_OSW'!$B50=1),1,IF(AND('6_Beitragsgesuch_OSW'!$B50=2),1,IF(AND('6_Beitragsgesuch_OSW'!$B50=3),1,IF(AND('6_Beitragsgesuch_OSW'!$B50=4),1,IF(AND('6_Beitragsgesuch_OSW'!$B50=5),1,IF(AND('6_Beitragsgesuch_OSW'!$B50=6),1,IF(AND('6_Beitragsgesuch_OSW'!$B50=7),1,IF(AND('6_Beitragsgesuch_OSW'!$B50=8),1,IF(AND('6_Beitragsgesuch_OSW'!$B50=9),1,IF(AND('6_Beitragsgesuch_OSW'!$B50=10),1,IF(AND('6_Beitragsgesuch_OSW'!$B50=11),1,IF(AND('6_Beitragsgesuch_OSW'!$B50=12),1,IF(AND('6_Beitragsgesuch_OSW'!$B50=13),2,IF(AND('6_Beitragsgesuch_OSW'!$B50=14),2,IF(AND('6_Beitragsgesuch_OSW'!$B50=15),2,IF(AND('6_Beitragsgesuch_OSW'!$B50=16),2,IF(AND('6_Beitragsgesuch_OSW'!$B50=17),2,IF(AND('6_Beitragsgesuch_OSW'!$B50=18),2,IF(AND('6_Beitragsgesuch_OSW'!$B50=19),2,IF(AND('6_Beitragsgesuch_OSW'!$B50=20),2,IF(AND('6_Beitragsgesuch_OSW'!$B50=21),2,IF(AND('6_Beitragsgesuch_OSW'!$B50=22),2,IF(AND('6_Beitragsgesuch_OSW'!$B50=23),2,IF(AND('6_Beitragsgesuch_OSW'!$B50=24),2,IF(AND('6_Beitragsgesuch_OSW'!$B50=25),2,IF(AND('6_Beitragsgesuch_OSW'!$B50=26),2,IF(AND('6_Beitragsgesuch_OSW'!$B50=27),2,IF(AND('6_Beitragsgesuch_OSW'!$B50=28),3,IF(AND('6_Beitragsgesuch_OSW'!$B$49=29),3,IF(AND('6_Beitragsgesuch_OSW'!$B50=30),3,IF(AND('6_Beitragsgesuch_OSW'!$B50=31),3,IF(AND('6_Beitragsgesuch_OSW'!$B50=32),3,IF(AND('6_Beitragsgesuch_OSW'!$B50=33),3,IF(AND('6_Beitragsgesuch_OSW'!$B50=34),4,IF(AND('6_Beitragsgesuch_OSW'!$B50=35),4,IF(AND('6_Beitragsgesuch_OSW'!$B50=36),4,IF(AND('6_Beitragsgesuch_OSW'!$B50=37),4,IF(AND('6_Beitragsgesuch_OSW'!$B50=38),4,IF(AND('6_Beitragsgesuch_OSW'!$B50=39),4)))))))))))))))))))))))))))))))))))))))</f>
        <v>0</v>
      </c>
      <c r="AT18" s="462">
        <f>IF('6_Beitragsgesuch_OSW'!T50=3,10,0)</f>
        <v>0</v>
      </c>
      <c r="AU18" s="84">
        <f t="shared" ref="AU18:AU20" si="3">AT18+AS18</f>
        <v>0</v>
      </c>
      <c r="AV18" s="11">
        <f t="shared" ref="AV18:AV20" si="4">IF(AND(AU18=11),400,IF(AND(AU18=12),800,IF(AND(AU18=13),2000,IF(AND(AU18=14),3000,0))))</f>
        <v>0</v>
      </c>
      <c r="AW18" s="84">
        <f>IF('6_Beitragsgesuch_OSW'!$V50=3,10,0)</f>
        <v>0</v>
      </c>
      <c r="AX18" s="84">
        <f t="shared" ref="AX18:AX20" si="5">AW18+AO18</f>
        <v>0</v>
      </c>
      <c r="AY18" s="11">
        <f t="shared" ref="AY18:AY20" si="6">IF(AND(AX18=11),2000,IF(AND(AX18=12),3000,0))</f>
        <v>0</v>
      </c>
      <c r="AZ18" s="84">
        <f>IF('6_Beitragsgesuch_OSW'!$V50=4,10,0)</f>
        <v>0</v>
      </c>
      <c r="BA18" s="84">
        <f t="shared" ref="BA18:BA20" si="7">AZ18+AO18</f>
        <v>0</v>
      </c>
      <c r="BB18" s="11">
        <f t="shared" ref="BB18:BB20" si="8">IF(AND(BA18=11),4000,IF(AND(BA18=12),6000,0))</f>
        <v>0</v>
      </c>
    </row>
    <row r="19" spans="2:54" ht="14.25">
      <c r="B19" s="317" t="s">
        <v>6</v>
      </c>
      <c r="D19" s="1278" t="s">
        <v>743</v>
      </c>
      <c r="E19" s="1278"/>
      <c r="F19" s="1278"/>
      <c r="G19" s="1278"/>
      <c r="H19" s="1278"/>
      <c r="I19" s="1278"/>
      <c r="J19" s="1278"/>
      <c r="T19" s="1280"/>
      <c r="U19" s="464" t="s">
        <v>30</v>
      </c>
      <c r="V19" s="77">
        <f>V10</f>
        <v>50</v>
      </c>
      <c r="W19" s="77">
        <f t="shared" ref="W19:Z19" si="9">W10</f>
        <v>52</v>
      </c>
      <c r="X19" s="77">
        <f t="shared" si="9"/>
        <v>52</v>
      </c>
      <c r="Y19" s="77">
        <f t="shared" si="9"/>
        <v>53</v>
      </c>
      <c r="Z19" s="77">
        <f t="shared" si="9"/>
        <v>60</v>
      </c>
      <c r="AB19" s="151" t="s">
        <v>678</v>
      </c>
      <c r="AG19" s="440" t="s">
        <v>1028</v>
      </c>
      <c r="AH19" s="317">
        <v>7800</v>
      </c>
      <c r="AN19" s="11">
        <f>IF('6_Beitragsgesuch_OSW'!B51=40,0,INDEX('Pauschalansätze etc.'!$AH$3:$AH$41,'6_Beitragsgesuch_OSW'!B51,1))</f>
        <v>0</v>
      </c>
      <c r="AO19" s="84" t="b">
        <f>IF(AND('6_Beitragsgesuch_OSW'!$B51=28),1,IF(AND('6_Beitragsgesuch_OSW'!$B$49=29),1,IF(AND('6_Beitragsgesuch_OSW'!$B51=30),1,IF(AND('6_Beitragsgesuch_OSW'!$B51=31),1,IF(AND('6_Beitragsgesuch_OSW'!$B51=32),1,IF(AND('6_Beitragsgesuch_OSW'!$B51=33),1,IF(AND('6_Beitragsgesuch_OSW'!$B51=34),2,IF(AND('6_Beitragsgesuch_OSW'!$B51=35),2,IF(AND('6_Beitragsgesuch_OSW'!$B51=36),2,IF(AND('6_Beitragsgesuch_OSW'!$B51=37),2,IF(AND('6_Beitragsgesuch_OSW'!$B51=38),2,IF(AND('6_Beitragsgesuch_OSW'!$B51=39),2))))))))))))</f>
        <v>0</v>
      </c>
      <c r="AP19" s="84">
        <f>IF('6_Beitragsgesuch_OSW'!$R51=3,10,0)</f>
        <v>0</v>
      </c>
      <c r="AQ19" s="84">
        <f t="shared" si="1"/>
        <v>0</v>
      </c>
      <c r="AR19" s="11">
        <f t="shared" si="2"/>
        <v>0</v>
      </c>
      <c r="AS19" s="84" t="b">
        <f>IF(AND('6_Beitragsgesuch_OSW'!$B51=1),1,IF(AND('6_Beitragsgesuch_OSW'!$B51=2),1,IF(AND('6_Beitragsgesuch_OSW'!$B51=3),1,IF(AND('6_Beitragsgesuch_OSW'!$B51=4),1,IF(AND('6_Beitragsgesuch_OSW'!$B51=5),1,IF(AND('6_Beitragsgesuch_OSW'!$B51=6),1,IF(AND('6_Beitragsgesuch_OSW'!$B51=7),1,IF(AND('6_Beitragsgesuch_OSW'!$B51=8),1,IF(AND('6_Beitragsgesuch_OSW'!$B51=9),1,IF(AND('6_Beitragsgesuch_OSW'!$B51=10),1,IF(AND('6_Beitragsgesuch_OSW'!$B51=11),1,IF(AND('6_Beitragsgesuch_OSW'!$B51=12),1,IF(AND('6_Beitragsgesuch_OSW'!$B51=13),2,IF(AND('6_Beitragsgesuch_OSW'!$B51=14),2,IF(AND('6_Beitragsgesuch_OSW'!$B51=15),2,IF(AND('6_Beitragsgesuch_OSW'!$B51=16),2,IF(AND('6_Beitragsgesuch_OSW'!$B51=17),2,IF(AND('6_Beitragsgesuch_OSW'!$B51=18),2,IF(AND('6_Beitragsgesuch_OSW'!$B51=19),2,IF(AND('6_Beitragsgesuch_OSW'!$B51=20),2,IF(AND('6_Beitragsgesuch_OSW'!$B51=21),2,IF(AND('6_Beitragsgesuch_OSW'!$B51=22),2,IF(AND('6_Beitragsgesuch_OSW'!$B51=23),2,IF(AND('6_Beitragsgesuch_OSW'!$B51=24),2,IF(AND('6_Beitragsgesuch_OSW'!$B51=25),2,IF(AND('6_Beitragsgesuch_OSW'!$B51=26),2,IF(AND('6_Beitragsgesuch_OSW'!$B51=27),2,IF(AND('6_Beitragsgesuch_OSW'!$B51=28),3,IF(AND('6_Beitragsgesuch_OSW'!$B$49=29),3,IF(AND('6_Beitragsgesuch_OSW'!$B51=30),3,IF(AND('6_Beitragsgesuch_OSW'!$B51=31),3,IF(AND('6_Beitragsgesuch_OSW'!$B51=32),3,IF(AND('6_Beitragsgesuch_OSW'!$B51=33),3,IF(AND('6_Beitragsgesuch_OSW'!$B51=34),4,IF(AND('6_Beitragsgesuch_OSW'!$B51=35),4,IF(AND('6_Beitragsgesuch_OSW'!$B51=36),4,IF(AND('6_Beitragsgesuch_OSW'!$B51=37),4,IF(AND('6_Beitragsgesuch_OSW'!$B51=38),4,IF(AND('6_Beitragsgesuch_OSW'!$B51=39),4)))))))))))))))))))))))))))))))))))))))</f>
        <v>0</v>
      </c>
      <c r="AT19" s="462">
        <f>IF('6_Beitragsgesuch_OSW'!T51=3,10,0)</f>
        <v>0</v>
      </c>
      <c r="AU19" s="84">
        <f t="shared" si="3"/>
        <v>0</v>
      </c>
      <c r="AV19" s="11">
        <f t="shared" si="4"/>
        <v>0</v>
      </c>
      <c r="AW19" s="84">
        <f>IF('6_Beitragsgesuch_OSW'!$V51=3,10,0)</f>
        <v>0</v>
      </c>
      <c r="AX19" s="84">
        <f t="shared" si="5"/>
        <v>0</v>
      </c>
      <c r="AY19" s="11">
        <f t="shared" si="6"/>
        <v>0</v>
      </c>
      <c r="AZ19" s="84">
        <f>IF('6_Beitragsgesuch_OSW'!$V51=4,10,0)</f>
        <v>0</v>
      </c>
      <c r="BA19" s="84">
        <f t="shared" si="7"/>
        <v>0</v>
      </c>
      <c r="BB19" s="11">
        <f t="shared" si="8"/>
        <v>0</v>
      </c>
    </row>
    <row r="20" spans="2:54" ht="14.25">
      <c r="B20" s="317" t="s">
        <v>7</v>
      </c>
      <c r="D20" s="1279" t="s">
        <v>9</v>
      </c>
      <c r="E20" s="1279"/>
      <c r="F20" s="1279"/>
      <c r="G20" s="1279"/>
      <c r="H20" s="1279"/>
      <c r="I20" s="1279"/>
      <c r="J20" s="1279"/>
      <c r="L20" s="1278" t="s">
        <v>744</v>
      </c>
      <c r="M20" s="1278"/>
      <c r="N20" s="1278"/>
      <c r="O20" s="1278"/>
      <c r="P20" s="1278"/>
      <c r="Q20" s="1278"/>
      <c r="R20" s="1278"/>
      <c r="T20" s="1280"/>
      <c r="U20" s="464" t="s">
        <v>107</v>
      </c>
      <c r="V20" s="77">
        <f>V13</f>
        <v>45</v>
      </c>
      <c r="W20" s="77">
        <f t="shared" ref="W20:Z20" si="10">W13</f>
        <v>45</v>
      </c>
      <c r="X20" s="77">
        <f t="shared" si="10"/>
        <v>45</v>
      </c>
      <c r="Y20" s="77">
        <f t="shared" si="10"/>
        <v>45</v>
      </c>
      <c r="Z20" s="77">
        <f t="shared" si="10"/>
        <v>45</v>
      </c>
      <c r="AB20" s="151"/>
      <c r="AG20" s="440" t="s">
        <v>944</v>
      </c>
      <c r="AH20" s="317">
        <v>4400</v>
      </c>
      <c r="AN20" s="11">
        <f>IF('6_Beitragsgesuch_OSW'!B52=40,0,INDEX('Pauschalansätze etc.'!$AH$3:$AH$41,'6_Beitragsgesuch_OSW'!B52,1))</f>
        <v>0</v>
      </c>
      <c r="AO20" s="84" t="b">
        <f>IF(AND('6_Beitragsgesuch_OSW'!$B52=28),1,IF(AND('6_Beitragsgesuch_OSW'!$B$49=29),1,IF(AND('6_Beitragsgesuch_OSW'!$B52=30),1,IF(AND('6_Beitragsgesuch_OSW'!$B52=31),1,IF(AND('6_Beitragsgesuch_OSW'!$B52=32),1,IF(AND('6_Beitragsgesuch_OSW'!$B52=33),1,IF(AND('6_Beitragsgesuch_OSW'!$B52=34),2,IF(AND('6_Beitragsgesuch_OSW'!$B52=35),2,IF(AND('6_Beitragsgesuch_OSW'!$B52=36),2,IF(AND('6_Beitragsgesuch_OSW'!$B52=37),2,IF(AND('6_Beitragsgesuch_OSW'!$B52=38),2,IF(AND('6_Beitragsgesuch_OSW'!$B52=39),2))))))))))))</f>
        <v>0</v>
      </c>
      <c r="AP20" s="84">
        <f>IF('6_Beitragsgesuch_OSW'!$R52=3,10,0)</f>
        <v>0</v>
      </c>
      <c r="AQ20" s="84">
        <f t="shared" si="1"/>
        <v>0</v>
      </c>
      <c r="AR20" s="11">
        <f t="shared" si="2"/>
        <v>0</v>
      </c>
      <c r="AS20" s="84" t="b">
        <f>IF(AND('6_Beitragsgesuch_OSW'!$B52=1),1,IF(AND('6_Beitragsgesuch_OSW'!$B52=2),1,IF(AND('6_Beitragsgesuch_OSW'!$B52=3),1,IF(AND('6_Beitragsgesuch_OSW'!$B52=4),1,IF(AND('6_Beitragsgesuch_OSW'!$B52=5),1,IF(AND('6_Beitragsgesuch_OSW'!$B52=6),1,IF(AND('6_Beitragsgesuch_OSW'!$B52=7),1,IF(AND('6_Beitragsgesuch_OSW'!$B52=8),1,IF(AND('6_Beitragsgesuch_OSW'!$B52=9),1,IF(AND('6_Beitragsgesuch_OSW'!$B52=10),1,IF(AND('6_Beitragsgesuch_OSW'!$B52=11),1,IF(AND('6_Beitragsgesuch_OSW'!$B52=12),1,IF(AND('6_Beitragsgesuch_OSW'!$B52=13),2,IF(AND('6_Beitragsgesuch_OSW'!$B52=14),2,IF(AND('6_Beitragsgesuch_OSW'!$B52=15),2,IF(AND('6_Beitragsgesuch_OSW'!$B52=16),2,IF(AND('6_Beitragsgesuch_OSW'!$B52=17),2,IF(AND('6_Beitragsgesuch_OSW'!$B52=18),2,IF(AND('6_Beitragsgesuch_OSW'!$B52=19),2,IF(AND('6_Beitragsgesuch_OSW'!$B52=20),2,IF(AND('6_Beitragsgesuch_OSW'!$B52=21),2,IF(AND('6_Beitragsgesuch_OSW'!$B52=22),2,IF(AND('6_Beitragsgesuch_OSW'!$B52=23),2,IF(AND('6_Beitragsgesuch_OSW'!$B52=24),2,IF(AND('6_Beitragsgesuch_OSW'!$B52=25),2,IF(AND('6_Beitragsgesuch_OSW'!$B52=26),2,IF(AND('6_Beitragsgesuch_OSW'!$B52=27),2,IF(AND('6_Beitragsgesuch_OSW'!$B52=28),3,IF(AND('6_Beitragsgesuch_OSW'!$B$49=29),3,IF(AND('6_Beitragsgesuch_OSW'!$B52=30),3,IF(AND('6_Beitragsgesuch_OSW'!$B52=31),3,IF(AND('6_Beitragsgesuch_OSW'!$B52=32),3,IF(AND('6_Beitragsgesuch_OSW'!$B52=33),3,IF(AND('6_Beitragsgesuch_OSW'!$B52=34),4,IF(AND('6_Beitragsgesuch_OSW'!$B52=35),4,IF(AND('6_Beitragsgesuch_OSW'!$B52=36),4,IF(AND('6_Beitragsgesuch_OSW'!$B52=37),4,IF(AND('6_Beitragsgesuch_OSW'!$B52=38),4,IF(AND('6_Beitragsgesuch_OSW'!$B52=39),4)))))))))))))))))))))))))))))))))))))))</f>
        <v>0</v>
      </c>
      <c r="AT20" s="462">
        <f>IF('6_Beitragsgesuch_OSW'!T52=3,10,0)</f>
        <v>0</v>
      </c>
      <c r="AU20" s="84">
        <f t="shared" si="3"/>
        <v>0</v>
      </c>
      <c r="AV20" s="11">
        <f t="shared" si="4"/>
        <v>0</v>
      </c>
      <c r="AW20" s="84">
        <f>IF('6_Beitragsgesuch_OSW'!$V52=3,10,0)</f>
        <v>0</v>
      </c>
      <c r="AX20" s="84">
        <f t="shared" si="5"/>
        <v>0</v>
      </c>
      <c r="AY20" s="11">
        <f t="shared" si="6"/>
        <v>0</v>
      </c>
      <c r="AZ20" s="84">
        <f>IF('6_Beitragsgesuch_OSW'!$V52=4,10,0)</f>
        <v>0</v>
      </c>
      <c r="BA20" s="84">
        <f t="shared" si="7"/>
        <v>0</v>
      </c>
      <c r="BB20" s="11">
        <f t="shared" si="8"/>
        <v>0</v>
      </c>
    </row>
    <row r="21" spans="2:54" ht="14.25">
      <c r="D21" s="1280" t="s">
        <v>10</v>
      </c>
      <c r="E21" s="78"/>
      <c r="F21" s="78">
        <v>1</v>
      </c>
      <c r="G21" s="78">
        <v>2</v>
      </c>
      <c r="H21" s="78">
        <v>3</v>
      </c>
      <c r="I21" s="78">
        <v>4</v>
      </c>
      <c r="J21" s="78">
        <v>5</v>
      </c>
      <c r="L21" s="1279" t="s">
        <v>9</v>
      </c>
      <c r="M21" s="1279"/>
      <c r="N21" s="1279"/>
      <c r="O21" s="1279"/>
      <c r="P21" s="1279"/>
      <c r="Q21" s="1279"/>
      <c r="R21" s="1279"/>
      <c r="T21" s="401"/>
      <c r="U21" s="465"/>
      <c r="V21" s="466"/>
      <c r="W21" s="466"/>
      <c r="X21" s="466"/>
      <c r="Y21" s="466"/>
      <c r="Z21" s="466"/>
      <c r="AB21" s="151" t="s">
        <v>662</v>
      </c>
      <c r="AG21" s="440" t="s">
        <v>945</v>
      </c>
      <c r="AH21" s="317">
        <v>4400</v>
      </c>
      <c r="AT21" s="462"/>
    </row>
    <row r="22" spans="2:54" ht="12.75" customHeight="1">
      <c r="D22" s="1280"/>
      <c r="E22" s="78">
        <v>1</v>
      </c>
      <c r="F22" s="77">
        <v>15</v>
      </c>
      <c r="G22" s="77">
        <v>15</v>
      </c>
      <c r="H22" s="77">
        <v>15</v>
      </c>
      <c r="I22" s="77">
        <v>15</v>
      </c>
      <c r="J22" s="77">
        <v>15</v>
      </c>
      <c r="L22" s="398"/>
      <c r="M22" s="78"/>
      <c r="N22" s="78">
        <v>1</v>
      </c>
      <c r="O22" s="78">
        <v>2</v>
      </c>
      <c r="P22" s="78">
        <v>3</v>
      </c>
      <c r="Q22" s="78">
        <v>4</v>
      </c>
      <c r="R22" s="78">
        <v>5</v>
      </c>
      <c r="T22" s="401"/>
      <c r="U22" s="465"/>
      <c r="V22" s="466"/>
      <c r="W22" s="466"/>
      <c r="X22" s="466"/>
      <c r="Y22" s="466"/>
      <c r="Z22" s="466"/>
      <c r="AB22" s="151" t="s">
        <v>663</v>
      </c>
      <c r="AG22" s="440" t="s">
        <v>946</v>
      </c>
      <c r="AH22" s="317">
        <v>4400</v>
      </c>
    </row>
    <row r="23" spans="2:54">
      <c r="B23" s="317" t="s">
        <v>745</v>
      </c>
      <c r="D23" s="1280"/>
      <c r="E23" s="78">
        <v>2</v>
      </c>
      <c r="F23" s="77">
        <v>15</v>
      </c>
      <c r="G23" s="77">
        <v>15</v>
      </c>
      <c r="H23" s="77">
        <v>15</v>
      </c>
      <c r="I23" s="77">
        <v>15</v>
      </c>
      <c r="J23" s="77">
        <v>15</v>
      </c>
      <c r="L23" s="1280" t="s">
        <v>746</v>
      </c>
      <c r="M23" s="78">
        <v>1</v>
      </c>
      <c r="N23" s="77">
        <v>3</v>
      </c>
      <c r="O23" s="77">
        <v>2</v>
      </c>
      <c r="P23" s="77">
        <v>2</v>
      </c>
      <c r="Q23" s="77">
        <v>2</v>
      </c>
      <c r="R23" s="77">
        <v>2</v>
      </c>
      <c r="T23" s="401"/>
      <c r="U23" s="465"/>
      <c r="V23" s="466"/>
      <c r="W23" s="466"/>
      <c r="X23" s="466"/>
      <c r="Y23" s="466"/>
      <c r="Z23" s="466"/>
      <c r="AB23" s="151" t="s">
        <v>664</v>
      </c>
      <c r="AG23" s="440" t="s">
        <v>947</v>
      </c>
      <c r="AH23" s="317">
        <v>4400</v>
      </c>
    </row>
    <row r="24" spans="2:54" ht="12.75" customHeight="1">
      <c r="B24" s="372" t="s">
        <v>747</v>
      </c>
      <c r="D24" s="1280"/>
      <c r="E24" s="78">
        <v>3</v>
      </c>
      <c r="F24" s="77">
        <v>15</v>
      </c>
      <c r="G24" s="77">
        <v>15</v>
      </c>
      <c r="H24" s="77">
        <v>15</v>
      </c>
      <c r="I24" s="77">
        <v>15</v>
      </c>
      <c r="J24" s="77">
        <v>15</v>
      </c>
      <c r="L24" s="1280"/>
      <c r="M24" s="78">
        <v>2</v>
      </c>
      <c r="N24" s="77">
        <v>5</v>
      </c>
      <c r="O24" s="77">
        <v>4</v>
      </c>
      <c r="P24" s="77">
        <v>4</v>
      </c>
      <c r="Q24" s="77">
        <v>4</v>
      </c>
      <c r="R24" s="77">
        <v>4</v>
      </c>
      <c r="T24" s="401"/>
      <c r="U24" s="465"/>
      <c r="V24" s="466"/>
      <c r="W24" s="466"/>
      <c r="X24" s="466"/>
      <c r="Y24" s="466"/>
      <c r="Z24" s="466"/>
      <c r="AB24" s="151" t="s">
        <v>665</v>
      </c>
      <c r="AG24" s="440" t="s">
        <v>1029</v>
      </c>
      <c r="AH24" s="317">
        <v>7800</v>
      </c>
    </row>
    <row r="25" spans="2:54">
      <c r="B25" s="317" t="s">
        <v>748</v>
      </c>
      <c r="D25" s="1280"/>
      <c r="E25" s="78">
        <v>4</v>
      </c>
      <c r="F25" s="77">
        <v>15</v>
      </c>
      <c r="G25" s="77">
        <v>15</v>
      </c>
      <c r="H25" s="77">
        <v>15</v>
      </c>
      <c r="I25" s="77">
        <v>15</v>
      </c>
      <c r="J25" s="77">
        <v>15</v>
      </c>
      <c r="L25" s="1280"/>
      <c r="M25" s="78">
        <v>3</v>
      </c>
      <c r="N25" s="77">
        <v>12</v>
      </c>
      <c r="O25" s="77">
        <v>10</v>
      </c>
      <c r="P25" s="77">
        <v>9</v>
      </c>
      <c r="Q25" s="77">
        <v>9</v>
      </c>
      <c r="R25" s="77">
        <v>8</v>
      </c>
      <c r="T25" s="401"/>
      <c r="U25" s="465"/>
      <c r="V25" s="466"/>
      <c r="W25" s="466"/>
      <c r="X25" s="466"/>
      <c r="Y25" s="466"/>
      <c r="Z25" s="466"/>
      <c r="AB25" s="151" t="s">
        <v>666</v>
      </c>
      <c r="AG25" s="440" t="s">
        <v>950</v>
      </c>
      <c r="AH25" s="317">
        <v>4800</v>
      </c>
    </row>
    <row r="26" spans="2:54">
      <c r="B26" s="317" t="s">
        <v>749</v>
      </c>
      <c r="L26" s="1280"/>
      <c r="M26" s="78">
        <v>4</v>
      </c>
      <c r="N26" s="77">
        <v>17</v>
      </c>
      <c r="O26" s="77">
        <v>14</v>
      </c>
      <c r="P26" s="77">
        <v>13</v>
      </c>
      <c r="Q26" s="77">
        <v>12</v>
      </c>
      <c r="R26" s="77">
        <v>12</v>
      </c>
      <c r="T26" s="463"/>
      <c r="U26" s="463"/>
      <c r="V26" s="463"/>
      <c r="W26" s="463"/>
      <c r="X26" s="463"/>
      <c r="Y26" s="463"/>
      <c r="Z26" s="463"/>
      <c r="AB26" s="151" t="s">
        <v>667</v>
      </c>
      <c r="AG26" s="440" t="s">
        <v>951</v>
      </c>
      <c r="AH26" s="317">
        <v>4800</v>
      </c>
    </row>
    <row r="27" spans="2:54" ht="15" customHeight="1">
      <c r="D27" s="1278" t="s">
        <v>750</v>
      </c>
      <c r="E27" s="1278"/>
      <c r="F27" s="1278"/>
      <c r="G27" s="1278"/>
      <c r="H27" s="1278"/>
      <c r="I27" s="1278"/>
      <c r="J27" s="1278"/>
      <c r="L27" s="1280"/>
      <c r="M27" s="78">
        <v>5</v>
      </c>
      <c r="N27" s="77">
        <v>22</v>
      </c>
      <c r="O27" s="77">
        <v>18</v>
      </c>
      <c r="P27" s="77">
        <v>17</v>
      </c>
      <c r="Q27" s="77">
        <v>16</v>
      </c>
      <c r="R27" s="77">
        <v>15</v>
      </c>
      <c r="T27" s="463"/>
      <c r="U27" s="463"/>
      <c r="V27" s="463"/>
      <c r="W27" s="463"/>
      <c r="X27" s="463"/>
      <c r="Y27" s="463"/>
      <c r="Z27" s="463"/>
      <c r="AB27" s="151" t="s">
        <v>668</v>
      </c>
      <c r="AG27" s="440" t="s">
        <v>952</v>
      </c>
      <c r="AH27" s="317">
        <v>4800</v>
      </c>
    </row>
    <row r="28" spans="2:54" ht="14.25">
      <c r="D28" s="1279" t="s">
        <v>9</v>
      </c>
      <c r="E28" s="1279"/>
      <c r="F28" s="1279"/>
      <c r="G28" s="1279"/>
      <c r="H28" s="1279"/>
      <c r="I28" s="1279"/>
      <c r="J28" s="1279"/>
      <c r="L28" s="1280"/>
      <c r="M28" s="78">
        <v>6</v>
      </c>
      <c r="N28" s="77">
        <v>28</v>
      </c>
      <c r="O28" s="77">
        <v>24</v>
      </c>
      <c r="P28" s="77">
        <v>23</v>
      </c>
      <c r="Q28" s="77">
        <v>21</v>
      </c>
      <c r="R28" s="77">
        <v>20</v>
      </c>
      <c r="T28" s="463"/>
      <c r="U28" s="463"/>
      <c r="V28" s="463"/>
      <c r="W28" s="463"/>
      <c r="X28" s="463"/>
      <c r="Y28" s="463"/>
      <c r="Z28" s="463"/>
      <c r="AA28" s="6"/>
      <c r="AB28" s="151" t="s">
        <v>669</v>
      </c>
      <c r="AG28" s="440" t="s">
        <v>953</v>
      </c>
      <c r="AH28" s="317">
        <v>4800</v>
      </c>
    </row>
    <row r="29" spans="2:54" ht="14.25" customHeight="1">
      <c r="B29" s="317" t="s">
        <v>1</v>
      </c>
      <c r="D29" s="1280" t="s">
        <v>10</v>
      </c>
      <c r="E29" s="78"/>
      <c r="F29" s="78">
        <v>1</v>
      </c>
      <c r="G29" s="78">
        <v>2</v>
      </c>
      <c r="H29" s="78">
        <v>3</v>
      </c>
      <c r="I29" s="78">
        <v>4</v>
      </c>
      <c r="J29" s="78">
        <v>5</v>
      </c>
      <c r="L29" s="330"/>
      <c r="M29" s="81"/>
      <c r="N29" s="400"/>
      <c r="O29" s="400"/>
      <c r="P29" s="400"/>
      <c r="Q29" s="400"/>
      <c r="R29" s="400"/>
      <c r="T29" s="463"/>
      <c r="U29" s="463"/>
      <c r="V29" s="463"/>
      <c r="W29" s="463"/>
      <c r="X29" s="463"/>
      <c r="Y29" s="463"/>
      <c r="Z29" s="463"/>
      <c r="AA29" s="2"/>
      <c r="AB29" s="151" t="s">
        <v>670</v>
      </c>
      <c r="AG29" s="440" t="s">
        <v>1030</v>
      </c>
      <c r="AH29" s="317">
        <v>7800</v>
      </c>
    </row>
    <row r="30" spans="2:54" ht="12.75" customHeight="1">
      <c r="B30" s="317" t="s">
        <v>11</v>
      </c>
      <c r="D30" s="1280"/>
      <c r="E30" s="78">
        <v>1</v>
      </c>
      <c r="F30" s="77">
        <v>39</v>
      </c>
      <c r="G30" s="77">
        <v>36</v>
      </c>
      <c r="H30" s="77">
        <v>33</v>
      </c>
      <c r="I30" s="77">
        <v>31</v>
      </c>
      <c r="J30" s="77">
        <v>28</v>
      </c>
      <c r="L30" s="1278" t="s">
        <v>751</v>
      </c>
      <c r="M30" s="1278"/>
      <c r="N30" s="1278"/>
      <c r="O30" s="1278"/>
      <c r="P30" s="1278"/>
      <c r="Q30" s="1278"/>
      <c r="R30" s="1278"/>
      <c r="T30" s="463"/>
      <c r="U30" s="463"/>
      <c r="V30" s="463"/>
      <c r="W30" s="463"/>
      <c r="X30" s="463"/>
      <c r="Y30" s="463"/>
      <c r="Z30" s="463"/>
      <c r="AA30" s="2"/>
      <c r="AB30" s="151" t="s">
        <v>671</v>
      </c>
      <c r="AG30" s="440" t="s">
        <v>954</v>
      </c>
      <c r="AH30" s="317">
        <v>10000</v>
      </c>
    </row>
    <row r="31" spans="2:54" ht="14.25" customHeight="1">
      <c r="B31" s="317" t="s">
        <v>12</v>
      </c>
      <c r="D31" s="1280"/>
      <c r="E31" s="78">
        <v>2</v>
      </c>
      <c r="F31" s="77">
        <v>41</v>
      </c>
      <c r="G31" s="77">
        <v>37</v>
      </c>
      <c r="H31" s="77">
        <v>35</v>
      </c>
      <c r="I31" s="77">
        <v>32</v>
      </c>
      <c r="J31" s="77">
        <v>30</v>
      </c>
      <c r="L31" s="1279" t="s">
        <v>136</v>
      </c>
      <c r="M31" s="1279"/>
      <c r="N31" s="1279"/>
      <c r="O31" s="1279"/>
      <c r="P31" s="1279"/>
      <c r="Q31" s="1279"/>
      <c r="R31" s="1279"/>
      <c r="T31" s="463"/>
      <c r="U31" s="463"/>
      <c r="V31" s="463"/>
      <c r="W31" s="463"/>
      <c r="X31" s="463"/>
      <c r="Y31" s="463"/>
      <c r="Z31" s="463"/>
      <c r="AA31" s="2"/>
      <c r="AB31" s="151" t="s">
        <v>672</v>
      </c>
      <c r="AG31" s="440" t="s">
        <v>955</v>
      </c>
      <c r="AH31" s="317">
        <v>10000</v>
      </c>
    </row>
    <row r="32" spans="2:54">
      <c r="B32" s="317" t="s">
        <v>13</v>
      </c>
      <c r="D32" s="1280"/>
      <c r="E32" s="78">
        <v>3</v>
      </c>
      <c r="F32" s="77">
        <v>45</v>
      </c>
      <c r="G32" s="77">
        <v>41</v>
      </c>
      <c r="H32" s="77">
        <v>38</v>
      </c>
      <c r="I32" s="77">
        <v>35</v>
      </c>
      <c r="J32" s="77">
        <v>33</v>
      </c>
      <c r="L32" s="401"/>
      <c r="M32" s="80"/>
      <c r="N32" s="81"/>
      <c r="O32" s="81"/>
      <c r="P32" s="81"/>
      <c r="Q32" s="81"/>
      <c r="R32" s="81"/>
      <c r="T32" s="463"/>
      <c r="U32" s="463"/>
      <c r="V32" s="463"/>
      <c r="W32" s="463"/>
      <c r="X32" s="463"/>
      <c r="Y32" s="463"/>
      <c r="Z32" s="463"/>
      <c r="AA32" s="2"/>
      <c r="AB32" s="151" t="s">
        <v>673</v>
      </c>
      <c r="AG32" s="440" t="s">
        <v>956</v>
      </c>
      <c r="AH32" s="317">
        <v>11000</v>
      </c>
    </row>
    <row r="33" spans="2:34">
      <c r="B33" s="317" t="s">
        <v>14</v>
      </c>
      <c r="D33" s="1280"/>
      <c r="E33" s="78">
        <v>4</v>
      </c>
      <c r="F33" s="77">
        <v>50</v>
      </c>
      <c r="G33" s="77">
        <v>46</v>
      </c>
      <c r="H33" s="77">
        <v>43</v>
      </c>
      <c r="I33" s="77">
        <v>39</v>
      </c>
      <c r="J33" s="77">
        <v>36</v>
      </c>
      <c r="L33" s="1283" t="s">
        <v>752</v>
      </c>
      <c r="M33" s="1283"/>
      <c r="N33" s="1283"/>
      <c r="O33" s="1283"/>
      <c r="P33" s="1283"/>
      <c r="Q33" s="1283"/>
      <c r="R33" s="1283"/>
      <c r="T33" s="463"/>
      <c r="U33" s="463"/>
      <c r="V33" s="463"/>
      <c r="W33" s="463"/>
      <c r="X33" s="463"/>
      <c r="Y33" s="463"/>
      <c r="Z33" s="463"/>
      <c r="AB33" s="73"/>
      <c r="AG33" s="440" t="s">
        <v>957</v>
      </c>
      <c r="AH33" s="317">
        <v>11000</v>
      </c>
    </row>
    <row r="34" spans="2:34">
      <c r="L34" s="1283"/>
      <c r="M34" s="1283"/>
      <c r="N34" s="1283"/>
      <c r="O34" s="1283"/>
      <c r="P34" s="1283"/>
      <c r="Q34" s="1283"/>
      <c r="R34" s="1283"/>
      <c r="T34" s="463"/>
      <c r="U34" s="463"/>
      <c r="V34" s="463"/>
      <c r="W34" s="463"/>
      <c r="X34" s="463"/>
      <c r="Y34" s="463"/>
      <c r="Z34" s="463"/>
      <c r="AB34" s="152" t="s">
        <v>4</v>
      </c>
      <c r="AG34" s="440" t="s">
        <v>958</v>
      </c>
      <c r="AH34" s="317">
        <v>12000</v>
      </c>
    </row>
    <row r="35" spans="2:34" ht="14.25">
      <c r="D35" s="1278" t="s">
        <v>753</v>
      </c>
      <c r="E35" s="1278"/>
      <c r="F35" s="1278"/>
      <c r="G35" s="1278"/>
      <c r="H35" s="1278"/>
      <c r="I35" s="1278"/>
      <c r="J35" s="1278"/>
      <c r="L35" s="1279" t="s">
        <v>9</v>
      </c>
      <c r="M35" s="1279"/>
      <c r="N35" s="1279"/>
      <c r="O35" s="1279"/>
      <c r="P35" s="1279"/>
      <c r="Q35" s="1279"/>
      <c r="R35" s="1279"/>
      <c r="T35" s="463"/>
      <c r="U35" s="463"/>
      <c r="V35" s="463"/>
      <c r="W35" s="463"/>
      <c r="X35" s="463"/>
      <c r="Y35" s="463"/>
      <c r="Z35" s="463"/>
      <c r="AB35" s="152" t="s">
        <v>5</v>
      </c>
      <c r="AC35" s="82"/>
      <c r="AG35" s="440" t="s">
        <v>959</v>
      </c>
      <c r="AH35" s="317">
        <v>12000</v>
      </c>
    </row>
    <row r="36" spans="2:34" ht="14.25">
      <c r="B36" s="317" t="s">
        <v>754</v>
      </c>
      <c r="D36" s="1279" t="s">
        <v>9</v>
      </c>
      <c r="E36" s="1279"/>
      <c r="F36" s="1279"/>
      <c r="G36" s="1279"/>
      <c r="H36" s="1279"/>
      <c r="I36" s="1279"/>
      <c r="J36" s="1279"/>
      <c r="L36" s="398"/>
      <c r="M36" s="78">
        <v>1</v>
      </c>
      <c r="N36" s="77">
        <v>12</v>
      </c>
      <c r="O36" s="77">
        <v>12</v>
      </c>
      <c r="P36" s="77">
        <v>12</v>
      </c>
      <c r="Q36" s="77">
        <v>12</v>
      </c>
      <c r="R36" s="77">
        <v>12</v>
      </c>
      <c r="T36" s="463"/>
      <c r="U36" s="463"/>
      <c r="V36" s="463"/>
      <c r="W36" s="463"/>
      <c r="X36" s="463"/>
      <c r="Y36" s="463"/>
      <c r="Z36" s="463"/>
      <c r="AB36" s="152" t="s">
        <v>6</v>
      </c>
      <c r="AC36" s="81"/>
      <c r="AG36" s="440" t="s">
        <v>960</v>
      </c>
      <c r="AH36" s="317">
        <v>15000</v>
      </c>
    </row>
    <row r="37" spans="2:34">
      <c r="B37" s="317" t="s">
        <v>755</v>
      </c>
      <c r="D37" s="398"/>
      <c r="E37" s="78">
        <v>1</v>
      </c>
      <c r="F37" s="77">
        <v>15</v>
      </c>
      <c r="G37" s="77">
        <v>15</v>
      </c>
      <c r="H37" s="77">
        <v>15</v>
      </c>
      <c r="I37" s="77">
        <v>15</v>
      </c>
      <c r="J37" s="77">
        <v>15</v>
      </c>
      <c r="T37" s="463"/>
      <c r="U37" s="463"/>
      <c r="V37" s="463"/>
      <c r="W37" s="463"/>
      <c r="X37" s="463"/>
      <c r="Y37" s="463"/>
      <c r="Z37" s="463"/>
      <c r="AB37" s="152" t="s">
        <v>7</v>
      </c>
      <c r="AC37" s="80"/>
      <c r="AG37" s="440" t="s">
        <v>961</v>
      </c>
      <c r="AH37" s="317">
        <v>15000</v>
      </c>
    </row>
    <row r="38" spans="2:34" ht="14.25" customHeight="1">
      <c r="B38" s="317" t="s">
        <v>756</v>
      </c>
      <c r="L38" s="1283" t="s">
        <v>757</v>
      </c>
      <c r="M38" s="1283"/>
      <c r="N38" s="1283"/>
      <c r="O38" s="1283"/>
      <c r="P38" s="1283"/>
      <c r="Q38" s="1283"/>
      <c r="R38" s="1283"/>
      <c r="T38" s="463"/>
      <c r="U38" s="463"/>
      <c r="V38" s="463"/>
      <c r="W38" s="463"/>
      <c r="X38" s="463"/>
      <c r="Y38" s="463"/>
      <c r="Z38" s="463"/>
      <c r="AB38" s="152"/>
      <c r="AC38" s="80"/>
      <c r="AG38" s="440" t="s">
        <v>962</v>
      </c>
      <c r="AH38" s="317">
        <v>16500</v>
      </c>
    </row>
    <row r="39" spans="2:34">
      <c r="B39" s="317" t="s">
        <v>758</v>
      </c>
      <c r="D39" s="1278" t="s">
        <v>759</v>
      </c>
      <c r="E39" s="1278"/>
      <c r="F39" s="1278"/>
      <c r="G39" s="1278"/>
      <c r="H39" s="1278"/>
      <c r="I39" s="1278"/>
      <c r="J39" s="1278"/>
      <c r="L39" s="1283"/>
      <c r="M39" s="1283"/>
      <c r="N39" s="1283"/>
      <c r="O39" s="1283"/>
      <c r="P39" s="1283"/>
      <c r="Q39" s="1283"/>
      <c r="R39" s="1283"/>
      <c r="T39" s="463"/>
      <c r="U39" s="463"/>
      <c r="V39" s="463"/>
      <c r="W39" s="463"/>
      <c r="X39" s="463"/>
      <c r="Y39" s="463"/>
      <c r="Z39" s="463"/>
      <c r="AB39"/>
      <c r="AC39" s="80"/>
      <c r="AG39" s="440" t="s">
        <v>963</v>
      </c>
      <c r="AH39" s="317">
        <v>16500</v>
      </c>
    </row>
    <row r="40" spans="2:34" ht="12.75" customHeight="1">
      <c r="B40" s="317" t="s">
        <v>760</v>
      </c>
      <c r="D40" s="1279" t="s">
        <v>136</v>
      </c>
      <c r="E40" s="1279"/>
      <c r="F40" s="1279"/>
      <c r="G40" s="1279"/>
      <c r="H40" s="1279"/>
      <c r="I40" s="1279"/>
      <c r="J40" s="1279"/>
      <c r="L40" s="1279" t="s">
        <v>9</v>
      </c>
      <c r="M40" s="1279"/>
      <c r="N40" s="1279"/>
      <c r="O40" s="1279"/>
      <c r="P40" s="1279"/>
      <c r="Q40" s="1279"/>
      <c r="R40" s="1279"/>
      <c r="AB40" s="152" t="s">
        <v>1</v>
      </c>
      <c r="AC40" s="80"/>
      <c r="AG40" s="440" t="s">
        <v>964</v>
      </c>
      <c r="AH40" s="317">
        <v>18000</v>
      </c>
    </row>
    <row r="41" spans="2:34" ht="12.75" customHeight="1">
      <c r="L41" s="398"/>
      <c r="M41" s="78"/>
      <c r="N41" s="78">
        <v>1</v>
      </c>
      <c r="O41" s="78">
        <v>2</v>
      </c>
      <c r="P41" s="78">
        <v>3</v>
      </c>
      <c r="Q41" s="78">
        <v>4</v>
      </c>
      <c r="R41" s="78">
        <v>5</v>
      </c>
      <c r="AB41" s="152" t="s">
        <v>11</v>
      </c>
      <c r="AC41" s="80"/>
      <c r="AG41" s="440" t="s">
        <v>965</v>
      </c>
      <c r="AH41" s="317">
        <v>18000</v>
      </c>
    </row>
    <row r="42" spans="2:34" ht="12.75" customHeight="1">
      <c r="D42" s="1278" t="s">
        <v>761</v>
      </c>
      <c r="E42" s="1278"/>
      <c r="F42" s="1278"/>
      <c r="G42" s="1278"/>
      <c r="H42" s="1278"/>
      <c r="I42" s="1278"/>
      <c r="J42" s="1278"/>
      <c r="L42" s="402"/>
      <c r="M42" s="78">
        <v>1</v>
      </c>
      <c r="N42" s="77">
        <v>13</v>
      </c>
      <c r="O42" s="77">
        <v>11</v>
      </c>
      <c r="P42" s="77">
        <v>11</v>
      </c>
      <c r="Q42" s="77">
        <v>9</v>
      </c>
      <c r="R42" s="77">
        <v>9</v>
      </c>
      <c r="AB42" s="152" t="s">
        <v>12</v>
      </c>
      <c r="AC42" s="80"/>
    </row>
    <row r="43" spans="2:34" ht="14.25">
      <c r="B43" s="317" t="s">
        <v>0</v>
      </c>
      <c r="D43" s="1279" t="s">
        <v>9</v>
      </c>
      <c r="E43" s="1279"/>
      <c r="F43" s="1279"/>
      <c r="G43" s="1279"/>
      <c r="H43" s="1279"/>
      <c r="I43" s="1279"/>
      <c r="J43" s="1279"/>
      <c r="AB43" s="152" t="s">
        <v>13</v>
      </c>
      <c r="AC43" s="80"/>
    </row>
    <row r="44" spans="2:34">
      <c r="B44" s="317" t="s">
        <v>16</v>
      </c>
      <c r="D44" s="1280" t="s">
        <v>10</v>
      </c>
      <c r="E44" s="78"/>
      <c r="F44" s="78">
        <v>1</v>
      </c>
      <c r="G44" s="78">
        <v>2</v>
      </c>
      <c r="H44" s="78">
        <v>3</v>
      </c>
      <c r="I44" s="78">
        <v>4</v>
      </c>
      <c r="J44" s="78">
        <v>5</v>
      </c>
      <c r="L44" s="1278" t="s">
        <v>762</v>
      </c>
      <c r="M44" s="1278"/>
      <c r="N44" s="1278"/>
      <c r="O44" s="1278"/>
      <c r="P44" s="1278"/>
      <c r="Q44" s="1278"/>
      <c r="R44" s="1278"/>
      <c r="AB44" s="152" t="s">
        <v>14</v>
      </c>
      <c r="AC44" s="80"/>
    </row>
    <row r="45" spans="2:34" ht="12.75" customHeight="1">
      <c r="B45" s="372" t="s">
        <v>25</v>
      </c>
      <c r="D45" s="1280"/>
      <c r="E45" s="78">
        <v>1</v>
      </c>
      <c r="F45" s="77">
        <v>14</v>
      </c>
      <c r="G45" s="77">
        <v>13</v>
      </c>
      <c r="H45" s="77">
        <v>13</v>
      </c>
      <c r="I45" s="77">
        <v>11</v>
      </c>
      <c r="J45" s="77">
        <v>11</v>
      </c>
      <c r="L45" s="1279" t="s">
        <v>9</v>
      </c>
      <c r="M45" s="1279"/>
      <c r="N45" s="1279"/>
      <c r="O45" s="1279"/>
      <c r="P45" s="1279"/>
      <c r="Q45" s="1279"/>
      <c r="R45" s="1279"/>
      <c r="AB45" s="152"/>
      <c r="AC45" s="80"/>
    </row>
    <row r="46" spans="2:34" ht="12.75" customHeight="1">
      <c r="B46" s="372" t="s">
        <v>26</v>
      </c>
      <c r="D46" s="1280"/>
      <c r="E46" s="78">
        <v>2</v>
      </c>
      <c r="F46" s="77">
        <v>14</v>
      </c>
      <c r="G46" s="77">
        <v>13</v>
      </c>
      <c r="H46" s="77">
        <v>13</v>
      </c>
      <c r="I46" s="77">
        <v>11</v>
      </c>
      <c r="J46" s="77">
        <v>11</v>
      </c>
      <c r="L46" s="1280" t="s">
        <v>746</v>
      </c>
      <c r="M46" s="78"/>
      <c r="N46" s="78">
        <v>1</v>
      </c>
      <c r="O46" s="78">
        <v>2</v>
      </c>
      <c r="P46" s="78">
        <v>3</v>
      </c>
      <c r="Q46" s="78">
        <v>4</v>
      </c>
      <c r="R46" s="78">
        <v>5</v>
      </c>
      <c r="AB46"/>
    </row>
    <row r="47" spans="2:34" ht="12.75" customHeight="1">
      <c r="B47" s="372" t="s">
        <v>27</v>
      </c>
      <c r="D47" s="1280"/>
      <c r="E47" s="78">
        <v>3</v>
      </c>
      <c r="F47" s="77">
        <v>14</v>
      </c>
      <c r="G47" s="77">
        <v>13</v>
      </c>
      <c r="H47" s="77">
        <v>13</v>
      </c>
      <c r="I47" s="77">
        <v>11</v>
      </c>
      <c r="J47" s="77">
        <v>11</v>
      </c>
      <c r="L47" s="1280"/>
      <c r="M47" s="78">
        <v>1</v>
      </c>
      <c r="N47" s="77">
        <v>20</v>
      </c>
      <c r="O47" s="77">
        <v>18</v>
      </c>
      <c r="P47" s="77">
        <v>18</v>
      </c>
      <c r="Q47" s="77">
        <v>14</v>
      </c>
      <c r="R47" s="77">
        <v>14</v>
      </c>
      <c r="AB47" s="152" t="s">
        <v>0</v>
      </c>
    </row>
    <row r="48" spans="2:34">
      <c r="D48" s="1280"/>
      <c r="E48" s="78">
        <v>4</v>
      </c>
      <c r="F48" s="77">
        <v>14</v>
      </c>
      <c r="G48" s="77">
        <v>13</v>
      </c>
      <c r="H48" s="77">
        <v>13</v>
      </c>
      <c r="I48" s="77">
        <v>11</v>
      </c>
      <c r="J48" s="77">
        <v>11</v>
      </c>
      <c r="L48" s="1280"/>
      <c r="M48" s="78">
        <v>2</v>
      </c>
      <c r="N48" s="77">
        <v>20</v>
      </c>
      <c r="O48" s="77">
        <v>18</v>
      </c>
      <c r="P48" s="77">
        <v>18</v>
      </c>
      <c r="Q48" s="77">
        <v>15</v>
      </c>
      <c r="R48" s="77">
        <v>15</v>
      </c>
      <c r="AB48" s="152" t="s">
        <v>16</v>
      </c>
    </row>
    <row r="49" spans="2:28">
      <c r="L49" s="1280"/>
      <c r="M49" s="78">
        <v>3</v>
      </c>
      <c r="N49" s="77">
        <v>21</v>
      </c>
      <c r="O49" s="77">
        <v>19</v>
      </c>
      <c r="P49" s="77">
        <v>19</v>
      </c>
      <c r="Q49" s="77">
        <v>15</v>
      </c>
      <c r="R49" s="77">
        <v>15</v>
      </c>
      <c r="AB49" s="151" t="s">
        <v>25</v>
      </c>
    </row>
    <row r="50" spans="2:28" ht="12.75" customHeight="1">
      <c r="B50" s="317" t="s">
        <v>763</v>
      </c>
      <c r="C50" s="317" t="s">
        <v>764</v>
      </c>
      <c r="D50" s="1278" t="s">
        <v>765</v>
      </c>
      <c r="E50" s="1278"/>
      <c r="F50" s="1278"/>
      <c r="G50" s="1278"/>
      <c r="H50" s="1278"/>
      <c r="I50" s="1278"/>
      <c r="J50" s="1278"/>
      <c r="L50" s="1280"/>
      <c r="M50" s="78">
        <v>4</v>
      </c>
      <c r="N50" s="77">
        <v>22</v>
      </c>
      <c r="O50" s="77">
        <v>20</v>
      </c>
      <c r="P50" s="77">
        <v>20</v>
      </c>
      <c r="Q50" s="77">
        <v>16</v>
      </c>
      <c r="R50" s="77">
        <v>16</v>
      </c>
      <c r="AA50" s="6"/>
      <c r="AB50" s="151" t="s">
        <v>26</v>
      </c>
    </row>
    <row r="51" spans="2:28" ht="13.15" customHeight="1">
      <c r="B51" s="317" t="s">
        <v>766</v>
      </c>
      <c r="C51" s="317" t="s">
        <v>767</v>
      </c>
      <c r="D51" s="1279" t="s">
        <v>9</v>
      </c>
      <c r="E51" s="1279"/>
      <c r="F51" s="1279"/>
      <c r="G51" s="1279"/>
      <c r="H51" s="1279"/>
      <c r="I51" s="1279"/>
      <c r="J51" s="1279"/>
      <c r="L51" s="1280"/>
      <c r="M51" s="78">
        <v>5</v>
      </c>
      <c r="N51" s="77">
        <v>23</v>
      </c>
      <c r="O51" s="77">
        <v>21</v>
      </c>
      <c r="P51" s="77">
        <v>21</v>
      </c>
      <c r="Q51" s="77">
        <v>16</v>
      </c>
      <c r="R51" s="77">
        <v>16</v>
      </c>
      <c r="AA51" s="2"/>
      <c r="AB51" s="151" t="s">
        <v>27</v>
      </c>
    </row>
    <row r="52" spans="2:28">
      <c r="D52" s="1280" t="s">
        <v>10</v>
      </c>
      <c r="E52" s="78"/>
      <c r="F52" s="78">
        <v>1</v>
      </c>
      <c r="G52" s="78">
        <v>2</v>
      </c>
      <c r="H52" s="78">
        <v>3</v>
      </c>
      <c r="I52" s="78">
        <v>4</v>
      </c>
      <c r="J52" s="78">
        <v>5</v>
      </c>
      <c r="L52" s="1280"/>
      <c r="M52" s="78">
        <v>6</v>
      </c>
      <c r="N52" s="77">
        <v>24</v>
      </c>
      <c r="O52" s="77">
        <v>22</v>
      </c>
      <c r="P52" s="77">
        <v>22</v>
      </c>
      <c r="Q52" s="77">
        <v>17</v>
      </c>
      <c r="R52" s="77">
        <v>17</v>
      </c>
      <c r="AA52" s="2"/>
      <c r="AB52" s="152"/>
    </row>
    <row r="53" spans="2:28" ht="12.75" customHeight="1">
      <c r="D53" s="1280"/>
      <c r="E53" s="78">
        <v>1</v>
      </c>
      <c r="F53" s="77">
        <v>29</v>
      </c>
      <c r="G53" s="77">
        <v>19</v>
      </c>
      <c r="H53" s="77">
        <v>19</v>
      </c>
      <c r="I53" s="77">
        <v>15</v>
      </c>
      <c r="J53" s="77">
        <v>13</v>
      </c>
      <c r="L53" s="401"/>
      <c r="M53" s="79"/>
      <c r="N53" s="53"/>
      <c r="O53" s="53"/>
      <c r="P53" s="53"/>
      <c r="Q53" s="53"/>
      <c r="R53" s="53"/>
      <c r="AA53" s="2"/>
      <c r="AB53"/>
    </row>
    <row r="54" spans="2:28" ht="12.75" customHeight="1">
      <c r="D54" s="1280"/>
      <c r="E54" s="78">
        <v>2</v>
      </c>
      <c r="F54" s="77">
        <v>34</v>
      </c>
      <c r="G54" s="77">
        <v>22</v>
      </c>
      <c r="H54" s="77">
        <v>22</v>
      </c>
      <c r="I54" s="77">
        <v>17</v>
      </c>
      <c r="J54" s="77">
        <v>15</v>
      </c>
      <c r="L54" s="1278" t="s">
        <v>768</v>
      </c>
      <c r="M54" s="1278"/>
      <c r="N54" s="1278"/>
      <c r="O54" s="1278"/>
      <c r="P54" s="1278"/>
      <c r="Q54" s="1278"/>
      <c r="R54" s="1278"/>
      <c r="AA54" s="2"/>
      <c r="AB54" s="151" t="s">
        <v>262</v>
      </c>
    </row>
    <row r="55" spans="2:28" ht="14.25">
      <c r="D55" s="1280"/>
      <c r="E55" s="78">
        <v>3</v>
      </c>
      <c r="F55" s="77">
        <v>34</v>
      </c>
      <c r="G55" s="77">
        <v>22</v>
      </c>
      <c r="H55" s="77">
        <v>22</v>
      </c>
      <c r="I55" s="77">
        <v>17</v>
      </c>
      <c r="J55" s="77">
        <v>15</v>
      </c>
      <c r="L55" s="1279" t="s">
        <v>9</v>
      </c>
      <c r="M55" s="1279"/>
      <c r="N55" s="1279"/>
      <c r="O55" s="1279"/>
      <c r="P55" s="1279"/>
      <c r="Q55" s="1279"/>
      <c r="R55" s="1279"/>
      <c r="AB55" s="151" t="s">
        <v>263</v>
      </c>
    </row>
    <row r="56" spans="2:28">
      <c r="B56" s="317" t="s">
        <v>769</v>
      </c>
      <c r="D56" s="1280"/>
      <c r="E56" s="78">
        <v>4</v>
      </c>
      <c r="F56" s="77">
        <v>34</v>
      </c>
      <c r="G56" s="77">
        <v>22</v>
      </c>
      <c r="H56" s="77">
        <v>22</v>
      </c>
      <c r="I56" s="77">
        <v>17</v>
      </c>
      <c r="J56" s="77">
        <v>15</v>
      </c>
      <c r="L56" s="398"/>
      <c r="M56" s="78"/>
      <c r="N56" s="78">
        <v>1</v>
      </c>
      <c r="O56" s="78">
        <v>2</v>
      </c>
      <c r="P56" s="78">
        <v>3</v>
      </c>
      <c r="Q56" s="78">
        <v>4</v>
      </c>
      <c r="R56" s="78">
        <v>5</v>
      </c>
      <c r="AB56" s="151" t="s">
        <v>264</v>
      </c>
    </row>
    <row r="57" spans="2:28">
      <c r="B57" s="317" t="s">
        <v>770</v>
      </c>
      <c r="L57" s="1276" t="s">
        <v>771</v>
      </c>
      <c r="M57" s="1276"/>
      <c r="N57" s="77">
        <v>44</v>
      </c>
      <c r="O57" s="77">
        <v>42</v>
      </c>
      <c r="P57" s="77">
        <v>42</v>
      </c>
      <c r="Q57" s="77">
        <v>40</v>
      </c>
      <c r="R57" s="77">
        <v>40</v>
      </c>
      <c r="AB57" s="151" t="s">
        <v>18</v>
      </c>
    </row>
    <row r="58" spans="2:28" ht="12.75" customHeight="1">
      <c r="D58" s="1278" t="s">
        <v>772</v>
      </c>
      <c r="E58" s="1278"/>
      <c r="F58" s="1278"/>
      <c r="G58" s="1278"/>
      <c r="H58" s="1278"/>
      <c r="I58" s="1278"/>
      <c r="J58" s="1278"/>
      <c r="L58" s="1276" t="s">
        <v>773</v>
      </c>
      <c r="M58" s="1276"/>
      <c r="N58" s="77">
        <v>14</v>
      </c>
      <c r="O58" s="77">
        <v>14</v>
      </c>
      <c r="P58" s="77">
        <v>14</v>
      </c>
      <c r="Q58" s="77">
        <v>14</v>
      </c>
      <c r="R58" s="77">
        <v>14</v>
      </c>
      <c r="AB58" s="152" t="s">
        <v>19</v>
      </c>
    </row>
    <row r="59" spans="2:28" ht="14.25">
      <c r="D59" s="1279" t="s">
        <v>9</v>
      </c>
      <c r="E59" s="1279"/>
      <c r="F59" s="1279"/>
      <c r="G59" s="1279"/>
      <c r="H59" s="1279"/>
      <c r="I59" s="1279"/>
      <c r="J59" s="1279"/>
      <c r="L59" s="1275" t="s">
        <v>774</v>
      </c>
      <c r="M59" s="1275"/>
      <c r="N59" s="77">
        <v>7</v>
      </c>
      <c r="O59" s="77">
        <v>7</v>
      </c>
      <c r="P59" s="77">
        <v>7</v>
      </c>
      <c r="Q59" s="77">
        <v>7</v>
      </c>
      <c r="R59" s="77">
        <v>7</v>
      </c>
      <c r="AB59" s="152" t="s">
        <v>20</v>
      </c>
    </row>
    <row r="60" spans="2:28">
      <c r="B60" s="317" t="s">
        <v>775</v>
      </c>
      <c r="D60" s="1280" t="s">
        <v>10</v>
      </c>
      <c r="E60" s="78"/>
      <c r="F60" s="78">
        <v>1</v>
      </c>
      <c r="G60" s="78">
        <v>2</v>
      </c>
      <c r="H60" s="78">
        <v>3</v>
      </c>
      <c r="I60" s="78">
        <v>4</v>
      </c>
      <c r="J60" s="78">
        <v>5</v>
      </c>
      <c r="L60" s="1275" t="s">
        <v>776</v>
      </c>
      <c r="M60" s="1275"/>
      <c r="N60" s="77">
        <v>0</v>
      </c>
      <c r="O60" s="77">
        <v>0</v>
      </c>
      <c r="P60" s="77">
        <v>0</v>
      </c>
      <c r="Q60" s="77">
        <v>0</v>
      </c>
      <c r="R60" s="77">
        <v>0</v>
      </c>
      <c r="AB60" s="152"/>
    </row>
    <row r="61" spans="2:28">
      <c r="B61" s="317" t="s">
        <v>777</v>
      </c>
      <c r="D61" s="1280"/>
      <c r="E61" s="78">
        <v>1</v>
      </c>
      <c r="F61" s="77">
        <v>14</v>
      </c>
      <c r="G61" s="77">
        <v>13</v>
      </c>
      <c r="H61" s="77">
        <v>13</v>
      </c>
      <c r="I61" s="77">
        <v>11</v>
      </c>
      <c r="J61" s="77">
        <v>11</v>
      </c>
      <c r="L61" s="1275" t="s">
        <v>778</v>
      </c>
      <c r="M61" s="1275"/>
      <c r="N61" s="77">
        <v>-4</v>
      </c>
      <c r="O61" s="77">
        <v>-4</v>
      </c>
      <c r="P61" s="77">
        <v>-4</v>
      </c>
      <c r="Q61" s="77">
        <v>-4</v>
      </c>
      <c r="R61" s="77">
        <v>-4</v>
      </c>
      <c r="T61" s="8"/>
      <c r="U61" s="8"/>
      <c r="V61" s="8"/>
      <c r="W61" s="8"/>
      <c r="X61" s="8"/>
      <c r="Y61" s="8"/>
      <c r="Z61" s="8"/>
      <c r="AB61"/>
    </row>
    <row r="62" spans="2:28" ht="14.25">
      <c r="B62" s="317" t="s">
        <v>779</v>
      </c>
      <c r="D62" s="1280"/>
      <c r="E62" s="78">
        <v>2</v>
      </c>
      <c r="F62" s="77">
        <v>14</v>
      </c>
      <c r="G62" s="77">
        <v>13</v>
      </c>
      <c r="H62" s="77">
        <v>13</v>
      </c>
      <c r="I62" s="77">
        <v>11</v>
      </c>
      <c r="J62" s="77">
        <v>11</v>
      </c>
      <c r="L62" s="1281" t="s">
        <v>780</v>
      </c>
      <c r="M62" s="1275"/>
      <c r="N62" s="78">
        <v>0</v>
      </c>
      <c r="O62" s="78">
        <v>0</v>
      </c>
      <c r="P62" s="78">
        <v>0</v>
      </c>
      <c r="Q62" s="78">
        <v>0</v>
      </c>
      <c r="R62" s="78">
        <v>0</v>
      </c>
      <c r="U62" s="2"/>
      <c r="V62" s="403"/>
      <c r="W62" s="403"/>
      <c r="X62" s="403"/>
      <c r="Y62" s="403"/>
      <c r="Z62" s="403"/>
      <c r="AB62" s="157" t="s">
        <v>265</v>
      </c>
    </row>
    <row r="63" spans="2:28">
      <c r="B63" s="317" t="s">
        <v>18</v>
      </c>
      <c r="D63" s="1280"/>
      <c r="E63" s="78">
        <v>3</v>
      </c>
      <c r="F63" s="77">
        <v>14</v>
      </c>
      <c r="G63" s="77">
        <v>13</v>
      </c>
      <c r="H63" s="77">
        <v>13</v>
      </c>
      <c r="I63" s="77">
        <v>11</v>
      </c>
      <c r="J63" s="77">
        <v>11</v>
      </c>
      <c r="L63" s="1281" t="s">
        <v>781</v>
      </c>
      <c r="M63" s="1275"/>
      <c r="N63" s="78">
        <v>2</v>
      </c>
      <c r="O63" s="78">
        <v>2</v>
      </c>
      <c r="P63" s="78">
        <v>2</v>
      </c>
      <c r="Q63" s="78">
        <v>2</v>
      </c>
      <c r="R63" s="78">
        <v>2</v>
      </c>
      <c r="U63" s="6"/>
      <c r="V63" s="6"/>
      <c r="W63" s="6"/>
      <c r="X63" s="6"/>
      <c r="Y63" s="6"/>
      <c r="Z63" s="6"/>
      <c r="AB63" s="157" t="s">
        <v>266</v>
      </c>
    </row>
    <row r="64" spans="2:28">
      <c r="B64" s="317" t="s">
        <v>19</v>
      </c>
      <c r="D64" s="1280"/>
      <c r="E64" s="78">
        <v>4</v>
      </c>
      <c r="F64" s="77">
        <v>14</v>
      </c>
      <c r="G64" s="77">
        <v>13</v>
      </c>
      <c r="H64" s="77">
        <v>13</v>
      </c>
      <c r="I64" s="77">
        <v>11</v>
      </c>
      <c r="J64" s="77">
        <v>11</v>
      </c>
      <c r="L64" s="1281" t="s">
        <v>782</v>
      </c>
      <c r="M64" s="1275"/>
      <c r="N64" s="78">
        <v>0</v>
      </c>
      <c r="O64" s="78">
        <v>0</v>
      </c>
      <c r="P64" s="78">
        <v>0</v>
      </c>
      <c r="Q64" s="78">
        <v>0</v>
      </c>
      <c r="R64" s="78">
        <v>0</v>
      </c>
      <c r="S64" s="82"/>
      <c r="T64" s="404"/>
      <c r="U64" s="6"/>
      <c r="V64" s="2"/>
      <c r="W64" s="2"/>
      <c r="X64" s="2"/>
      <c r="Y64" s="2"/>
      <c r="Z64" s="2"/>
      <c r="AB64" s="151"/>
    </row>
    <row r="65" spans="2:28" ht="14.25">
      <c r="B65" s="317" t="s">
        <v>20</v>
      </c>
      <c r="L65" s="1281" t="s">
        <v>783</v>
      </c>
      <c r="M65" s="1275"/>
      <c r="N65" s="78">
        <v>3</v>
      </c>
      <c r="O65" s="78">
        <v>3</v>
      </c>
      <c r="P65" s="78">
        <v>3</v>
      </c>
      <c r="Q65" s="78">
        <v>3</v>
      </c>
      <c r="R65" s="78">
        <v>3</v>
      </c>
      <c r="S65" s="400"/>
      <c r="AB65"/>
    </row>
    <row r="66" spans="2:28">
      <c r="D66" s="1278" t="s">
        <v>784</v>
      </c>
      <c r="E66" s="1278"/>
      <c r="F66" s="1278"/>
      <c r="G66" s="1278"/>
      <c r="H66" s="1278"/>
      <c r="I66" s="1278"/>
      <c r="J66" s="1278"/>
      <c r="L66" s="405" t="s">
        <v>785</v>
      </c>
      <c r="M66" s="405"/>
      <c r="N66" s="78">
        <v>2</v>
      </c>
      <c r="O66" s="78">
        <v>2</v>
      </c>
      <c r="P66" s="78">
        <v>2</v>
      </c>
      <c r="Q66" s="78">
        <v>2</v>
      </c>
      <c r="R66" s="78">
        <v>2</v>
      </c>
      <c r="S66" s="80"/>
      <c r="AB66" s="151" t="s">
        <v>267</v>
      </c>
    </row>
    <row r="67" spans="2:28" ht="14.25">
      <c r="D67" s="1279" t="s">
        <v>9</v>
      </c>
      <c r="E67" s="1279"/>
      <c r="F67" s="1279"/>
      <c r="G67" s="1279"/>
      <c r="H67" s="1279"/>
      <c r="I67" s="1279"/>
      <c r="J67" s="1279"/>
      <c r="L67" s="405" t="s">
        <v>786</v>
      </c>
      <c r="M67" s="405"/>
      <c r="N67" s="78">
        <v>2</v>
      </c>
      <c r="O67" s="78">
        <v>2</v>
      </c>
      <c r="P67" s="78">
        <v>2</v>
      </c>
      <c r="Q67" s="78">
        <v>2</v>
      </c>
      <c r="R67" s="78">
        <v>2</v>
      </c>
      <c r="S67" s="81"/>
      <c r="AB67" s="151" t="s">
        <v>266</v>
      </c>
    </row>
    <row r="68" spans="2:28">
      <c r="B68" s="317" t="s">
        <v>746</v>
      </c>
      <c r="D68" s="1280" t="s">
        <v>10</v>
      </c>
      <c r="E68" s="78"/>
      <c r="F68" s="78">
        <v>1</v>
      </c>
      <c r="G68" s="78">
        <v>2</v>
      </c>
      <c r="H68" s="78">
        <v>3</v>
      </c>
      <c r="I68" s="78">
        <v>4</v>
      </c>
      <c r="J68" s="78">
        <v>5</v>
      </c>
      <c r="L68" s="406"/>
      <c r="M68" s="406"/>
      <c r="N68" s="80"/>
      <c r="O68" s="80"/>
      <c r="P68" s="80"/>
      <c r="Q68" s="80"/>
      <c r="R68" s="80"/>
      <c r="S68" s="81"/>
      <c r="AB68" s="152"/>
    </row>
    <row r="69" spans="2:28">
      <c r="B69" s="317" t="s">
        <v>787</v>
      </c>
      <c r="D69" s="1280"/>
      <c r="E69" s="78">
        <v>1</v>
      </c>
      <c r="F69" s="77">
        <v>51</v>
      </c>
      <c r="G69" s="77">
        <v>44</v>
      </c>
      <c r="H69" s="77">
        <v>44</v>
      </c>
      <c r="I69" s="77">
        <v>35</v>
      </c>
      <c r="J69" s="77">
        <v>32</v>
      </c>
      <c r="L69" s="407" t="s">
        <v>788</v>
      </c>
      <c r="M69" s="407"/>
      <c r="N69" s="407"/>
      <c r="O69" s="407"/>
      <c r="P69" s="407"/>
      <c r="Q69" s="407"/>
      <c r="R69" s="407"/>
      <c r="S69" s="81"/>
      <c r="AB69"/>
    </row>
    <row r="70" spans="2:28">
      <c r="B70" s="317" t="s">
        <v>789</v>
      </c>
      <c r="D70" s="1280"/>
      <c r="E70" s="78">
        <v>2</v>
      </c>
      <c r="F70" s="77">
        <v>51</v>
      </c>
      <c r="G70" s="77">
        <v>44</v>
      </c>
      <c r="H70" s="77">
        <v>44</v>
      </c>
      <c r="I70" s="77">
        <v>35</v>
      </c>
      <c r="J70" s="77">
        <v>32</v>
      </c>
      <c r="L70" s="408" t="s">
        <v>790</v>
      </c>
      <c r="M70" s="408">
        <v>1</v>
      </c>
      <c r="N70" s="409">
        <v>0</v>
      </c>
      <c r="O70" s="409">
        <v>0</v>
      </c>
      <c r="P70" s="409">
        <v>0</v>
      </c>
      <c r="Q70" s="409">
        <v>1000</v>
      </c>
      <c r="R70" s="410">
        <v>1000</v>
      </c>
      <c r="S70" s="81"/>
      <c r="AB70" s="151" t="s">
        <v>8</v>
      </c>
    </row>
    <row r="71" spans="2:28">
      <c r="B71" s="317" t="s">
        <v>791</v>
      </c>
      <c r="D71" s="1280"/>
      <c r="E71" s="78">
        <v>3</v>
      </c>
      <c r="F71" s="77">
        <v>51</v>
      </c>
      <c r="G71" s="77">
        <v>44</v>
      </c>
      <c r="H71" s="77">
        <v>44</v>
      </c>
      <c r="I71" s="77">
        <v>35</v>
      </c>
      <c r="J71" s="77">
        <v>32</v>
      </c>
      <c r="L71" s="399"/>
      <c r="M71" s="399">
        <v>2</v>
      </c>
      <c r="N71" s="411">
        <v>0</v>
      </c>
      <c r="O71" s="411">
        <v>0</v>
      </c>
      <c r="P71" s="411">
        <v>1000</v>
      </c>
      <c r="Q71" s="411">
        <v>1000</v>
      </c>
      <c r="R71" s="411">
        <v>1000</v>
      </c>
      <c r="AB71" s="152" t="s">
        <v>33</v>
      </c>
    </row>
    <row r="72" spans="2:28" ht="13.5" customHeight="1">
      <c r="B72" s="317" t="s">
        <v>792</v>
      </c>
      <c r="D72" s="1280"/>
      <c r="E72" s="78">
        <v>4</v>
      </c>
      <c r="F72" s="77">
        <v>51</v>
      </c>
      <c r="G72" s="77">
        <v>44</v>
      </c>
      <c r="H72" s="77">
        <v>44</v>
      </c>
      <c r="I72" s="77">
        <v>35</v>
      </c>
      <c r="J72" s="77">
        <v>32</v>
      </c>
      <c r="L72" s="399"/>
      <c r="M72" s="399">
        <v>3</v>
      </c>
      <c r="N72" s="411">
        <v>0</v>
      </c>
      <c r="O72" s="411">
        <v>1000</v>
      </c>
      <c r="P72" s="411">
        <v>1000</v>
      </c>
      <c r="Q72" s="411">
        <v>1000</v>
      </c>
      <c r="R72" s="411">
        <v>1000</v>
      </c>
      <c r="AB72" s="152" t="s">
        <v>34</v>
      </c>
    </row>
    <row r="73" spans="2:28">
      <c r="B73" s="317" t="s">
        <v>793</v>
      </c>
      <c r="L73" s="412" t="s">
        <v>794</v>
      </c>
      <c r="M73" s="412"/>
      <c r="N73" s="412"/>
      <c r="O73" s="412"/>
      <c r="P73" s="412"/>
      <c r="Q73" s="412"/>
      <c r="R73" s="410">
        <v>10</v>
      </c>
      <c r="AB73" s="152" t="s">
        <v>35</v>
      </c>
    </row>
    <row r="74" spans="2:28">
      <c r="B74" s="317" t="s">
        <v>795</v>
      </c>
      <c r="D74" s="1278" t="s">
        <v>796</v>
      </c>
      <c r="E74" s="1278"/>
      <c r="F74" s="1278"/>
      <c r="G74" s="1278"/>
      <c r="H74" s="1278"/>
      <c r="I74" s="1278"/>
      <c r="J74" s="1278"/>
      <c r="L74" s="412" t="s">
        <v>797</v>
      </c>
      <c r="M74" s="412"/>
      <c r="N74" s="412"/>
      <c r="O74" s="412"/>
      <c r="P74" s="412"/>
      <c r="Q74" s="412"/>
      <c r="R74" s="410">
        <v>1000</v>
      </c>
      <c r="AB74" s="152" t="s">
        <v>37</v>
      </c>
    </row>
    <row r="75" spans="2:28" ht="14.25">
      <c r="D75" s="1279" t="s">
        <v>9</v>
      </c>
      <c r="E75" s="1279"/>
      <c r="F75" s="1279"/>
      <c r="G75" s="1279"/>
      <c r="H75" s="1279"/>
      <c r="I75" s="1279"/>
      <c r="J75" s="1279"/>
      <c r="AB75" s="152" t="s">
        <v>36</v>
      </c>
    </row>
    <row r="76" spans="2:28">
      <c r="D76" s="1280" t="s">
        <v>10</v>
      </c>
      <c r="E76" s="78"/>
      <c r="F76" s="78">
        <v>1</v>
      </c>
      <c r="G76" s="78">
        <v>2</v>
      </c>
      <c r="H76" s="78">
        <v>3</v>
      </c>
      <c r="I76" s="78">
        <v>4</v>
      </c>
      <c r="J76" s="78">
        <v>5</v>
      </c>
      <c r="AB76" s="152"/>
    </row>
    <row r="77" spans="2:28">
      <c r="B77" s="317" t="s">
        <v>798</v>
      </c>
      <c r="D77" s="1280"/>
      <c r="E77" s="78">
        <v>1</v>
      </c>
      <c r="F77" s="77">
        <v>50</v>
      </c>
      <c r="G77" s="77">
        <v>50</v>
      </c>
      <c r="H77" s="77">
        <v>50</v>
      </c>
      <c r="I77" s="77">
        <v>50</v>
      </c>
      <c r="J77" s="77">
        <v>50</v>
      </c>
      <c r="AB77"/>
    </row>
    <row r="78" spans="2:28">
      <c r="B78" s="317" t="s">
        <v>799</v>
      </c>
      <c r="D78" s="1280"/>
      <c r="E78" s="78">
        <v>2</v>
      </c>
      <c r="F78" s="77">
        <v>54</v>
      </c>
      <c r="G78" s="77">
        <v>54</v>
      </c>
      <c r="H78" s="77">
        <v>54</v>
      </c>
      <c r="I78" s="77">
        <v>54</v>
      </c>
      <c r="J78" s="77">
        <v>54</v>
      </c>
      <c r="AB78"/>
    </row>
    <row r="79" spans="2:28">
      <c r="B79" s="317" t="s">
        <v>18</v>
      </c>
      <c r="D79" s="1280"/>
      <c r="E79" s="78">
        <v>3</v>
      </c>
      <c r="F79" s="77">
        <v>62</v>
      </c>
      <c r="G79" s="77">
        <v>62</v>
      </c>
      <c r="H79" s="77">
        <v>62</v>
      </c>
      <c r="I79" s="77">
        <v>62</v>
      </c>
      <c r="J79" s="77">
        <v>62</v>
      </c>
    </row>
    <row r="80" spans="2:28">
      <c r="B80" s="317" t="s">
        <v>19</v>
      </c>
      <c r="D80" s="1280"/>
      <c r="E80" s="78">
        <v>4</v>
      </c>
      <c r="F80" s="77">
        <v>62</v>
      </c>
      <c r="G80" s="77">
        <v>62</v>
      </c>
      <c r="H80" s="77">
        <v>62</v>
      </c>
      <c r="I80" s="77">
        <v>62</v>
      </c>
      <c r="J80" s="77">
        <v>62</v>
      </c>
    </row>
    <row r="81" spans="2:10">
      <c r="B81" s="317" t="s">
        <v>20</v>
      </c>
    </row>
    <row r="82" spans="2:10">
      <c r="D82" s="1282" t="s">
        <v>800</v>
      </c>
      <c r="E82" s="1282"/>
      <c r="F82" s="1282"/>
      <c r="G82" s="1282"/>
      <c r="H82" s="1282"/>
      <c r="I82" s="1282"/>
      <c r="J82" s="1282"/>
    </row>
    <row r="83" spans="2:10">
      <c r="D83" s="1275" t="s">
        <v>801</v>
      </c>
      <c r="E83" s="1275"/>
      <c r="F83" s="1275"/>
      <c r="G83" s="77"/>
      <c r="H83" s="77"/>
      <c r="I83" s="398" t="s">
        <v>261</v>
      </c>
      <c r="J83" s="398">
        <v>15</v>
      </c>
    </row>
    <row r="84" spans="2:10">
      <c r="B84" s="317" t="s">
        <v>802</v>
      </c>
      <c r="D84" s="1276" t="s">
        <v>803</v>
      </c>
      <c r="E84" s="1276"/>
      <c r="F84" s="1276"/>
      <c r="G84" s="77"/>
      <c r="H84" s="77"/>
      <c r="I84" s="398" t="s">
        <v>261</v>
      </c>
      <c r="J84" s="398">
        <v>20</v>
      </c>
    </row>
    <row r="85" spans="2:10">
      <c r="B85" s="317" t="s">
        <v>787</v>
      </c>
    </row>
    <row r="86" spans="2:10">
      <c r="B86" s="317" t="s">
        <v>789</v>
      </c>
    </row>
    <row r="87" spans="2:10">
      <c r="B87" s="317" t="s">
        <v>791</v>
      </c>
      <c r="D87" s="1277" t="s">
        <v>804</v>
      </c>
      <c r="E87" s="1277"/>
      <c r="F87" s="1277"/>
      <c r="G87" s="1277"/>
      <c r="H87" s="1277"/>
      <c r="I87" s="1277"/>
      <c r="J87" s="1277"/>
    </row>
    <row r="88" spans="2:10">
      <c r="B88" s="317" t="s">
        <v>792</v>
      </c>
      <c r="D88" s="408" t="s">
        <v>790</v>
      </c>
      <c r="E88" s="408">
        <v>1</v>
      </c>
      <c r="F88" s="409">
        <v>0</v>
      </c>
      <c r="G88" s="409">
        <v>3000</v>
      </c>
      <c r="H88" s="409">
        <v>3000</v>
      </c>
      <c r="I88" s="409">
        <v>3000</v>
      </c>
      <c r="J88" s="410"/>
    </row>
    <row r="89" spans="2:10">
      <c r="B89" s="317" t="s">
        <v>793</v>
      </c>
      <c r="D89" s="399"/>
      <c r="E89" s="399">
        <v>2</v>
      </c>
      <c r="F89" s="411">
        <v>3000</v>
      </c>
      <c r="G89" s="411">
        <v>3000</v>
      </c>
      <c r="H89" s="411">
        <v>3000</v>
      </c>
      <c r="I89" s="411">
        <v>3000</v>
      </c>
      <c r="J89" s="411"/>
    </row>
    <row r="90" spans="2:10">
      <c r="B90" s="317" t="s">
        <v>795</v>
      </c>
      <c r="D90" s="399"/>
      <c r="E90" s="399">
        <v>3</v>
      </c>
      <c r="F90" s="411">
        <v>3000</v>
      </c>
      <c r="G90" s="411">
        <v>3000</v>
      </c>
      <c r="H90" s="411">
        <v>3000</v>
      </c>
      <c r="I90" s="411">
        <v>3000</v>
      </c>
      <c r="J90" s="411"/>
    </row>
    <row r="91" spans="2:10">
      <c r="D91" s="413"/>
      <c r="E91" s="338"/>
      <c r="F91" s="414"/>
      <c r="G91" s="414"/>
      <c r="H91" s="414"/>
      <c r="I91" s="414"/>
      <c r="J91" s="414"/>
    </row>
    <row r="92" spans="2:10">
      <c r="D92" s="414"/>
      <c r="E92" s="338"/>
      <c r="F92" s="414"/>
      <c r="G92" s="414"/>
      <c r="H92" s="414"/>
      <c r="I92" s="414"/>
      <c r="J92" s="414"/>
    </row>
    <row r="93" spans="2:10">
      <c r="B93" s="317" t="s">
        <v>805</v>
      </c>
      <c r="D93" s="414"/>
      <c r="E93" s="338"/>
      <c r="F93" s="338"/>
      <c r="G93" s="338"/>
      <c r="H93" s="338"/>
      <c r="I93" s="338"/>
      <c r="J93" s="338"/>
    </row>
    <row r="94" spans="2:10">
      <c r="B94" s="317" t="s">
        <v>806</v>
      </c>
      <c r="D94" s="415"/>
      <c r="E94" s="415"/>
      <c r="F94" s="415"/>
      <c r="G94" s="415"/>
      <c r="H94" s="415"/>
      <c r="I94" s="415"/>
      <c r="J94" s="83"/>
    </row>
    <row r="95" spans="2:10">
      <c r="B95" s="317" t="s">
        <v>807</v>
      </c>
      <c r="D95" s="415"/>
      <c r="E95" s="415"/>
      <c r="F95" s="415"/>
      <c r="G95" s="415"/>
      <c r="H95" s="415"/>
      <c r="I95" s="415"/>
      <c r="J95" s="83"/>
    </row>
    <row r="96" spans="2:10">
      <c r="B96" s="317" t="s">
        <v>808</v>
      </c>
    </row>
    <row r="97" spans="2:10">
      <c r="D97" s="372" t="s">
        <v>809</v>
      </c>
    </row>
    <row r="98" spans="2:10">
      <c r="F98" s="372" t="s">
        <v>810</v>
      </c>
      <c r="G98" s="61" t="s">
        <v>811</v>
      </c>
      <c r="H98" s="61" t="s">
        <v>812</v>
      </c>
      <c r="I98" s="61" t="s">
        <v>813</v>
      </c>
      <c r="J98" s="61" t="s">
        <v>814</v>
      </c>
    </row>
    <row r="99" spans="2:10">
      <c r="B99" s="317" t="s">
        <v>815</v>
      </c>
      <c r="E99" s="2" t="str">
        <f>B56</f>
        <v>Mittellang- und Langholz</v>
      </c>
      <c r="F99" s="61" t="s">
        <v>816</v>
      </c>
      <c r="G99" s="61" t="s">
        <v>817</v>
      </c>
      <c r="H99" s="61" t="s">
        <v>818</v>
      </c>
      <c r="I99" s="62" t="s">
        <v>819</v>
      </c>
      <c r="J99" s="61" t="s">
        <v>820</v>
      </c>
    </row>
    <row r="100" spans="2:10">
      <c r="B100" s="317" t="s">
        <v>821</v>
      </c>
      <c r="E100" s="2" t="str">
        <f>B57</f>
        <v>Trämel</v>
      </c>
      <c r="F100" s="61" t="s">
        <v>822</v>
      </c>
      <c r="G100" s="61" t="s">
        <v>823</v>
      </c>
      <c r="H100" s="61" t="s">
        <v>824</v>
      </c>
      <c r="I100" s="61" t="s">
        <v>825</v>
      </c>
      <c r="J100" s="61" t="s">
        <v>826</v>
      </c>
    </row>
    <row r="101" spans="2:10">
      <c r="B101" s="317" t="s">
        <v>827</v>
      </c>
    </row>
    <row r="102" spans="2:10">
      <c r="B102" s="317" t="s">
        <v>828</v>
      </c>
    </row>
    <row r="103" spans="2:10">
      <c r="B103" s="317" t="s">
        <v>829</v>
      </c>
    </row>
    <row r="104" spans="2:10">
      <c r="B104" s="317" t="s">
        <v>830</v>
      </c>
    </row>
    <row r="105" spans="2:10">
      <c r="B105" s="317" t="s">
        <v>831</v>
      </c>
    </row>
    <row r="106" spans="2:10">
      <c r="B106" s="317" t="s">
        <v>832</v>
      </c>
    </row>
    <row r="109" spans="2:10">
      <c r="B109" s="317" t="s">
        <v>833</v>
      </c>
    </row>
    <row r="110" spans="2:10">
      <c r="B110" s="317" t="s">
        <v>834</v>
      </c>
    </row>
    <row r="111" spans="2:10">
      <c r="B111" s="317" t="s">
        <v>835</v>
      </c>
    </row>
    <row r="112" spans="2:10">
      <c r="B112" s="317" t="s">
        <v>836</v>
      </c>
    </row>
    <row r="113" spans="2:2">
      <c r="B113" s="317" t="s">
        <v>837</v>
      </c>
    </row>
    <row r="116" spans="2:2">
      <c r="B116" s="317" t="s">
        <v>838</v>
      </c>
    </row>
    <row r="117" spans="2:2">
      <c r="B117" s="317" t="s">
        <v>839</v>
      </c>
    </row>
    <row r="118" spans="2:2">
      <c r="B118" s="317" t="s">
        <v>840</v>
      </c>
    </row>
    <row r="119" spans="2:2">
      <c r="B119" s="317" t="s">
        <v>841</v>
      </c>
    </row>
    <row r="120" spans="2:2">
      <c r="B120" s="317" t="s">
        <v>842</v>
      </c>
    </row>
    <row r="123" spans="2:2">
      <c r="B123" s="317" t="s">
        <v>843</v>
      </c>
    </row>
    <row r="124" spans="2:2">
      <c r="B124" s="317" t="s">
        <v>844</v>
      </c>
    </row>
    <row r="125" spans="2:2">
      <c r="B125" s="317" t="s">
        <v>845</v>
      </c>
    </row>
    <row r="126" spans="2:2">
      <c r="B126" s="317" t="s">
        <v>846</v>
      </c>
    </row>
    <row r="127" spans="2:2">
      <c r="B127" s="317" t="s">
        <v>847</v>
      </c>
    </row>
    <row r="128" spans="2:2">
      <c r="B128" s="317" t="s">
        <v>848</v>
      </c>
    </row>
    <row r="129" spans="2:2">
      <c r="B129" s="317" t="s">
        <v>849</v>
      </c>
    </row>
    <row r="130" spans="2:2">
      <c r="B130" s="317" t="s">
        <v>850</v>
      </c>
    </row>
    <row r="131" spans="2:2">
      <c r="B131" s="317" t="s">
        <v>851</v>
      </c>
    </row>
    <row r="132" spans="2:2">
      <c r="B132" s="317" t="s">
        <v>1009</v>
      </c>
    </row>
    <row r="135" spans="2:2">
      <c r="B135" s="317" t="s">
        <v>852</v>
      </c>
    </row>
    <row r="136" spans="2:2">
      <c r="B136" s="317" t="s">
        <v>853</v>
      </c>
    </row>
    <row r="137" spans="2:2">
      <c r="B137" s="317" t="s">
        <v>854</v>
      </c>
    </row>
    <row r="138" spans="2:2">
      <c r="B138" s="317" t="s">
        <v>855</v>
      </c>
    </row>
    <row r="139" spans="2:2">
      <c r="B139" s="317" t="s">
        <v>856</v>
      </c>
    </row>
    <row r="142" spans="2:2">
      <c r="B142" s="317" t="s">
        <v>857</v>
      </c>
    </row>
    <row r="143" spans="2:2">
      <c r="B143" s="317" t="s">
        <v>858</v>
      </c>
    </row>
    <row r="144" spans="2:2">
      <c r="B144" s="317" t="s">
        <v>859</v>
      </c>
    </row>
    <row r="147" spans="2:2">
      <c r="B147" s="317" t="s">
        <v>860</v>
      </c>
    </row>
    <row r="148" spans="2:2">
      <c r="B148" s="317" t="s">
        <v>861</v>
      </c>
    </row>
    <row r="149" spans="2:2">
      <c r="B149" s="317" t="s">
        <v>862</v>
      </c>
    </row>
    <row r="152" spans="2:2">
      <c r="B152" s="317" t="s">
        <v>863</v>
      </c>
    </row>
    <row r="154" spans="2:2">
      <c r="B154" s="317" t="s">
        <v>864</v>
      </c>
    </row>
    <row r="155" spans="2:2">
      <c r="B155" s="317" t="s">
        <v>865</v>
      </c>
    </row>
    <row r="156" spans="2:2">
      <c r="B156" s="317" t="s">
        <v>866</v>
      </c>
    </row>
    <row r="157" spans="2:2">
      <c r="B157" s="317" t="s">
        <v>867</v>
      </c>
    </row>
    <row r="158" spans="2:2">
      <c r="B158" s="317" t="s">
        <v>868</v>
      </c>
    </row>
    <row r="159" spans="2:2">
      <c r="B159" s="317" t="s">
        <v>869</v>
      </c>
    </row>
    <row r="160" spans="2:2">
      <c r="B160" s="317" t="s">
        <v>870</v>
      </c>
    </row>
    <row r="162" spans="2:2">
      <c r="B162" s="317" t="s">
        <v>871</v>
      </c>
    </row>
    <row r="164" spans="2:2">
      <c r="B164" s="317" t="s">
        <v>872</v>
      </c>
    </row>
    <row r="165" spans="2:2">
      <c r="B165" s="317" t="s">
        <v>873</v>
      </c>
    </row>
    <row r="166" spans="2:2">
      <c r="B166" s="317" t="s">
        <v>874</v>
      </c>
    </row>
    <row r="167" spans="2:2">
      <c r="B167" s="317" t="s">
        <v>875</v>
      </c>
    </row>
    <row r="168" spans="2:2">
      <c r="B168" s="372" t="s">
        <v>876</v>
      </c>
    </row>
    <row r="170" spans="2:2">
      <c r="B170" s="372" t="s">
        <v>877</v>
      </c>
    </row>
    <row r="171" spans="2:2">
      <c r="B171" s="372" t="s">
        <v>878</v>
      </c>
    </row>
    <row r="172" spans="2:2">
      <c r="B172" s="372" t="s">
        <v>879</v>
      </c>
    </row>
    <row r="173" spans="2:2">
      <c r="B173" s="372" t="s">
        <v>880</v>
      </c>
    </row>
    <row r="174" spans="2:2">
      <c r="B174" s="372" t="s">
        <v>881</v>
      </c>
    </row>
    <row r="175" spans="2:2">
      <c r="B175" s="372"/>
    </row>
    <row r="176" spans="2:2">
      <c r="B176" s="372" t="s">
        <v>45</v>
      </c>
    </row>
    <row r="177" spans="2:2">
      <c r="B177" s="372" t="s">
        <v>30</v>
      </c>
    </row>
    <row r="178" spans="2:2">
      <c r="B178" s="372" t="s">
        <v>107</v>
      </c>
    </row>
    <row r="180" spans="2:2">
      <c r="B180" s="372" t="s">
        <v>699</v>
      </c>
    </row>
    <row r="181" spans="2:2">
      <c r="B181" s="372" t="s">
        <v>882</v>
      </c>
    </row>
    <row r="182" spans="2:2">
      <c r="B182" s="372" t="s">
        <v>883</v>
      </c>
    </row>
    <row r="183" spans="2:2">
      <c r="B183" s="372" t="s">
        <v>740</v>
      </c>
    </row>
    <row r="184" spans="2:2">
      <c r="B184" s="372" t="s">
        <v>884</v>
      </c>
    </row>
    <row r="185" spans="2:2">
      <c r="B185" s="372" t="s">
        <v>885</v>
      </c>
    </row>
    <row r="187" spans="2:2">
      <c r="B187" s="317" t="s">
        <v>33</v>
      </c>
    </row>
    <row r="188" spans="2:2">
      <c r="B188" s="317" t="s">
        <v>34</v>
      </c>
    </row>
    <row r="189" spans="2:2">
      <c r="B189" s="317" t="s">
        <v>35</v>
      </c>
    </row>
    <row r="190" spans="2:2">
      <c r="B190" s="317" t="s">
        <v>37</v>
      </c>
    </row>
    <row r="191" spans="2:2">
      <c r="B191" s="317" t="s">
        <v>36</v>
      </c>
    </row>
    <row r="193" spans="2:2">
      <c r="B193" s="372" t="s">
        <v>886</v>
      </c>
    </row>
    <row r="194" spans="2:2">
      <c r="B194" s="372" t="s">
        <v>887</v>
      </c>
    </row>
    <row r="195" spans="2:2">
      <c r="B195" s="372" t="s">
        <v>888</v>
      </c>
    </row>
    <row r="196" spans="2:2">
      <c r="B196" s="372" t="s">
        <v>889</v>
      </c>
    </row>
    <row r="198" spans="2:2">
      <c r="B198" s="372" t="s">
        <v>890</v>
      </c>
    </row>
    <row r="199" spans="2:2">
      <c r="B199" s="372" t="s">
        <v>891</v>
      </c>
    </row>
    <row r="200" spans="2:2">
      <c r="B200" s="372" t="s">
        <v>892</v>
      </c>
    </row>
    <row r="202" spans="2:2">
      <c r="B202" s="372" t="s">
        <v>893</v>
      </c>
    </row>
    <row r="203" spans="2:2">
      <c r="B203" s="372" t="s">
        <v>894</v>
      </c>
    </row>
    <row r="204" spans="2:2">
      <c r="B204" s="372" t="s">
        <v>895</v>
      </c>
    </row>
    <row r="205" spans="2:2">
      <c r="B205" s="372" t="s">
        <v>838</v>
      </c>
    </row>
    <row r="208" spans="2:2">
      <c r="B208" s="317" t="s">
        <v>896</v>
      </c>
    </row>
    <row r="209" spans="2:2">
      <c r="B209" s="317" t="s">
        <v>897</v>
      </c>
    </row>
  </sheetData>
  <sheetProtection selectLockedCells="1"/>
  <mergeCells count="88">
    <mergeCell ref="AZ1:AZ16"/>
    <mergeCell ref="BA1:BA16"/>
    <mergeCell ref="BB1:BB16"/>
    <mergeCell ref="AN1:AN16"/>
    <mergeCell ref="AO1:AO16"/>
    <mergeCell ref="AP1:AP16"/>
    <mergeCell ref="AQ1:AQ16"/>
    <mergeCell ref="AR1:AR16"/>
    <mergeCell ref="AV1:AV16"/>
    <mergeCell ref="AW1:AW16"/>
    <mergeCell ref="AX1:AX16"/>
    <mergeCell ref="AY1:AY16"/>
    <mergeCell ref="AS1:AS16"/>
    <mergeCell ref="AT1:AT16"/>
    <mergeCell ref="AU1:AU16"/>
    <mergeCell ref="D1:J1"/>
    <mergeCell ref="L1:R1"/>
    <mergeCell ref="T1:Z1"/>
    <mergeCell ref="D3:J3"/>
    <mergeCell ref="L3:R3"/>
    <mergeCell ref="T3:Z3"/>
    <mergeCell ref="D4:J4"/>
    <mergeCell ref="L4:R4"/>
    <mergeCell ref="V4:Z4"/>
    <mergeCell ref="D5:D9"/>
    <mergeCell ref="L5:L9"/>
    <mergeCell ref="T6:T13"/>
    <mergeCell ref="D11:J11"/>
    <mergeCell ref="L11:R11"/>
    <mergeCell ref="D12:J12"/>
    <mergeCell ref="L12:R12"/>
    <mergeCell ref="D13:D17"/>
    <mergeCell ref="L13:L18"/>
    <mergeCell ref="T15:Z15"/>
    <mergeCell ref="V16:Z16"/>
    <mergeCell ref="T18:T20"/>
    <mergeCell ref="D36:J36"/>
    <mergeCell ref="D19:J19"/>
    <mergeCell ref="D20:J20"/>
    <mergeCell ref="L20:R20"/>
    <mergeCell ref="D21:D25"/>
    <mergeCell ref="L21:R21"/>
    <mergeCell ref="L23:L28"/>
    <mergeCell ref="D27:J27"/>
    <mergeCell ref="D28:J28"/>
    <mergeCell ref="D29:D33"/>
    <mergeCell ref="L30:R30"/>
    <mergeCell ref="L31:R31"/>
    <mergeCell ref="L33:R34"/>
    <mergeCell ref="D35:J35"/>
    <mergeCell ref="L35:R35"/>
    <mergeCell ref="L55:R55"/>
    <mergeCell ref="L38:R39"/>
    <mergeCell ref="D39:J39"/>
    <mergeCell ref="D40:J40"/>
    <mergeCell ref="L40:R40"/>
    <mergeCell ref="D42:J42"/>
    <mergeCell ref="D43:J43"/>
    <mergeCell ref="D44:D48"/>
    <mergeCell ref="L44:R44"/>
    <mergeCell ref="L45:R45"/>
    <mergeCell ref="L46:L52"/>
    <mergeCell ref="D50:J50"/>
    <mergeCell ref="D51:J51"/>
    <mergeCell ref="D52:D56"/>
    <mergeCell ref="L54:R54"/>
    <mergeCell ref="D76:D80"/>
    <mergeCell ref="D82:J82"/>
    <mergeCell ref="L65:M65"/>
    <mergeCell ref="D66:J66"/>
    <mergeCell ref="D67:J67"/>
    <mergeCell ref="D68:D72"/>
    <mergeCell ref="D83:F83"/>
    <mergeCell ref="D84:F84"/>
    <mergeCell ref="D87:J87"/>
    <mergeCell ref="D74:J74"/>
    <mergeCell ref="L57:M57"/>
    <mergeCell ref="D58:J58"/>
    <mergeCell ref="L58:M58"/>
    <mergeCell ref="D59:J59"/>
    <mergeCell ref="L59:M59"/>
    <mergeCell ref="D60:D64"/>
    <mergeCell ref="L60:M60"/>
    <mergeCell ref="L61:M61"/>
    <mergeCell ref="L62:M62"/>
    <mergeCell ref="L63:M63"/>
    <mergeCell ref="L64:M64"/>
    <mergeCell ref="D75:J75"/>
  </mergeCells>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8" tint="0.79998168889431442"/>
  </sheetPr>
  <dimension ref="A1"/>
  <sheetViews>
    <sheetView zoomScaleNormal="100" workbookViewId="0">
      <selection activeCell="H10" sqref="H10"/>
    </sheetView>
  </sheetViews>
  <sheetFormatPr baseColWidth="10" defaultRowHeight="12.75"/>
  <cols>
    <col min="7" max="7" width="18.42578125" customWidth="1"/>
  </cols>
  <sheetData/>
  <sheetProtection sheet="1" objects="1" scenarios="1" selectLockedCells="1"/>
  <pageMargins left="0.31496062992125984" right="0.31496062992125984" top="0.78740157480314965" bottom="0.78740157480314965" header="0.31496062992125984" footer="0.31496062992125984"/>
  <pageSetup paperSize="9" orientation="portrait" r:id="rId1"/>
  <headerFooter>
    <oddHeader>&amp;LAmt für Wald und Naturgefahren
des Kantons Bern&amp;CÜbersicht Rollen Prozess
Beilage 4&amp;RPflege im OSW, KS 6.1/7. Version 20/1</oddHead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1">
    <tabColor theme="8" tint="0.79998168889431442"/>
  </sheetPr>
  <dimension ref="A1:AH34"/>
  <sheetViews>
    <sheetView zoomScale="70" zoomScaleNormal="70" workbookViewId="0">
      <selection activeCell="AG6" sqref="AG6"/>
    </sheetView>
  </sheetViews>
  <sheetFormatPr baseColWidth="10" defaultRowHeight="12.75"/>
  <cols>
    <col min="1" max="1" width="5.5703125" customWidth="1"/>
    <col min="2" max="2" width="7.5703125" bestFit="1" customWidth="1"/>
    <col min="3" max="24" width="11.140625" customWidth="1"/>
    <col min="34" max="34" width="11.42578125" hidden="1" customWidth="1"/>
  </cols>
  <sheetData>
    <row r="1" spans="1:34" ht="26.25">
      <c r="A1" s="35" t="s">
        <v>49</v>
      </c>
    </row>
    <row r="3" spans="1:34">
      <c r="A3" s="199" t="s">
        <v>32</v>
      </c>
      <c r="B3" s="199"/>
      <c r="C3" s="199" t="s">
        <v>50</v>
      </c>
      <c r="D3" s="199" t="s">
        <v>51</v>
      </c>
      <c r="E3" s="199" t="s">
        <v>52</v>
      </c>
      <c r="F3" s="199" t="s">
        <v>53</v>
      </c>
      <c r="G3" s="199" t="s">
        <v>54</v>
      </c>
      <c r="H3" s="199" t="s">
        <v>55</v>
      </c>
      <c r="I3" s="199" t="s">
        <v>56</v>
      </c>
      <c r="J3" s="199" t="s">
        <v>57</v>
      </c>
      <c r="K3" s="199" t="s">
        <v>58</v>
      </c>
      <c r="L3" s="199" t="s">
        <v>59</v>
      </c>
      <c r="M3" s="199" t="s">
        <v>91</v>
      </c>
      <c r="N3" s="199" t="s">
        <v>92</v>
      </c>
      <c r="O3" s="199" t="s">
        <v>93</v>
      </c>
      <c r="P3" s="199" t="s">
        <v>94</v>
      </c>
      <c r="Q3" s="199" t="s">
        <v>95</v>
      </c>
      <c r="R3" s="199" t="s">
        <v>96</v>
      </c>
      <c r="S3" s="199" t="s">
        <v>97</v>
      </c>
      <c r="T3" s="199" t="s">
        <v>98</v>
      </c>
      <c r="U3" s="199" t="s">
        <v>99</v>
      </c>
      <c r="V3" s="199" t="s">
        <v>100</v>
      </c>
      <c r="W3" s="199" t="s">
        <v>276</v>
      </c>
      <c r="X3" s="199" t="s">
        <v>277</v>
      </c>
      <c r="Y3" s="199" t="s">
        <v>278</v>
      </c>
      <c r="Z3" s="199" t="s">
        <v>289</v>
      </c>
      <c r="AA3" s="199" t="s">
        <v>290</v>
      </c>
      <c r="AB3" s="199" t="s">
        <v>291</v>
      </c>
      <c r="AC3" s="199" t="s">
        <v>292</v>
      </c>
      <c r="AD3" s="199" t="s">
        <v>293</v>
      </c>
      <c r="AE3" s="199" t="s">
        <v>294</v>
      </c>
      <c r="AF3" s="199" t="s">
        <v>295</v>
      </c>
      <c r="AG3" s="36" t="s">
        <v>307</v>
      </c>
    </row>
    <row r="4" spans="1:34" s="55" customFormat="1" ht="51">
      <c r="A4" s="200" t="s">
        <v>60</v>
      </c>
      <c r="B4" s="200"/>
      <c r="C4" s="54" t="s">
        <v>61</v>
      </c>
      <c r="D4" s="54" t="s">
        <v>62</v>
      </c>
      <c r="E4" s="54" t="s">
        <v>63</v>
      </c>
      <c r="F4" s="54" t="s">
        <v>64</v>
      </c>
      <c r="G4" s="54" t="s">
        <v>65</v>
      </c>
      <c r="H4" s="181" t="s">
        <v>279</v>
      </c>
      <c r="I4" s="181" t="s">
        <v>280</v>
      </c>
      <c r="J4" s="181" t="s">
        <v>281</v>
      </c>
      <c r="K4" s="54" t="s">
        <v>123</v>
      </c>
      <c r="L4" s="54" t="s">
        <v>102</v>
      </c>
      <c r="M4" s="54" t="s">
        <v>103</v>
      </c>
      <c r="N4" s="54" t="s">
        <v>101</v>
      </c>
      <c r="O4" s="54" t="s">
        <v>90</v>
      </c>
      <c r="P4" s="54" t="s">
        <v>121</v>
      </c>
      <c r="Q4" s="54" t="s">
        <v>127</v>
      </c>
      <c r="R4" s="54" t="s">
        <v>66</v>
      </c>
      <c r="S4" s="54" t="s">
        <v>124</v>
      </c>
      <c r="T4" s="54" t="s">
        <v>125</v>
      </c>
      <c r="U4" s="54" t="s">
        <v>126</v>
      </c>
      <c r="V4" s="54" t="s">
        <v>105</v>
      </c>
      <c r="W4" s="54" t="s">
        <v>106</v>
      </c>
      <c r="X4" s="54" t="s">
        <v>104</v>
      </c>
      <c r="Y4" s="54" t="s">
        <v>299</v>
      </c>
      <c r="Z4" s="54" t="s">
        <v>300</v>
      </c>
      <c r="AA4" s="54" t="s">
        <v>301</v>
      </c>
      <c r="AB4" s="54" t="s">
        <v>287</v>
      </c>
      <c r="AC4" s="54" t="s">
        <v>288</v>
      </c>
      <c r="AD4" s="54" t="s">
        <v>296</v>
      </c>
      <c r="AE4" s="54" t="s">
        <v>297</v>
      </c>
      <c r="AF4" s="54" t="s">
        <v>298</v>
      </c>
      <c r="AG4" s="196" t="s">
        <v>308</v>
      </c>
      <c r="AH4" s="55" t="str">
        <f>C4</f>
        <v>Luzern 1</v>
      </c>
    </row>
    <row r="5" spans="1:34">
      <c r="A5" s="174" t="s">
        <v>29</v>
      </c>
      <c r="B5" s="174" t="s">
        <v>48</v>
      </c>
      <c r="C5" s="37"/>
      <c r="D5" s="37"/>
      <c r="E5" s="37"/>
      <c r="F5" s="37"/>
      <c r="G5" s="37"/>
      <c r="H5" s="182" t="s">
        <v>304</v>
      </c>
      <c r="I5" s="183" t="s">
        <v>304</v>
      </c>
      <c r="J5" s="182" t="s">
        <v>304</v>
      </c>
      <c r="K5" s="37" t="s">
        <v>305</v>
      </c>
      <c r="L5" s="37" t="s">
        <v>305</v>
      </c>
      <c r="M5" s="37" t="s">
        <v>305</v>
      </c>
      <c r="N5" s="37" t="s">
        <v>305</v>
      </c>
      <c r="O5" s="37" t="s">
        <v>305</v>
      </c>
      <c r="P5" s="37" t="s">
        <v>305</v>
      </c>
      <c r="Q5" s="37" t="s">
        <v>305</v>
      </c>
      <c r="R5" s="37" t="s">
        <v>305</v>
      </c>
      <c r="S5" s="37" t="s">
        <v>305</v>
      </c>
      <c r="T5" s="37" t="s">
        <v>305</v>
      </c>
      <c r="U5" s="37" t="s">
        <v>305</v>
      </c>
      <c r="V5" s="37" t="s">
        <v>305</v>
      </c>
      <c r="W5" s="37" t="s">
        <v>305</v>
      </c>
      <c r="X5" s="37" t="s">
        <v>305</v>
      </c>
      <c r="Y5" s="37" t="s">
        <v>303</v>
      </c>
      <c r="Z5" s="37" t="s">
        <v>303</v>
      </c>
      <c r="AA5" s="37" t="s">
        <v>303</v>
      </c>
      <c r="AB5" s="37" t="s">
        <v>303</v>
      </c>
      <c r="AC5" s="37" t="s">
        <v>303</v>
      </c>
      <c r="AD5" s="37" t="s">
        <v>302</v>
      </c>
      <c r="AE5" s="37" t="s">
        <v>302</v>
      </c>
      <c r="AF5" s="37" t="s">
        <v>302</v>
      </c>
      <c r="AG5" s="37"/>
      <c r="AH5" t="str">
        <f>D4</f>
        <v>Luzern 2 + 10%</v>
      </c>
    </row>
    <row r="6" spans="1:34">
      <c r="A6" s="174">
        <v>1</v>
      </c>
      <c r="B6" s="174" t="s">
        <v>67</v>
      </c>
      <c r="C6" s="52">
        <v>0.35</v>
      </c>
      <c r="D6" s="52">
        <v>0.28000000000000003</v>
      </c>
      <c r="E6" s="52">
        <v>0.25</v>
      </c>
      <c r="F6" s="52">
        <v>0.23</v>
      </c>
      <c r="G6" s="52">
        <v>0.2</v>
      </c>
      <c r="H6" s="182">
        <v>0.2</v>
      </c>
      <c r="I6" s="183">
        <v>0.2</v>
      </c>
      <c r="J6" s="182">
        <v>0.18</v>
      </c>
      <c r="K6" s="52">
        <v>0.19</v>
      </c>
      <c r="L6" s="52">
        <v>0.21</v>
      </c>
      <c r="M6" s="52">
        <v>0.23</v>
      </c>
      <c r="N6" s="52">
        <v>0.2</v>
      </c>
      <c r="O6" s="52">
        <v>0.22</v>
      </c>
      <c r="P6" s="52">
        <v>0.23</v>
      </c>
      <c r="Q6" s="52">
        <v>0.2</v>
      </c>
      <c r="R6" s="52">
        <v>0.25</v>
      </c>
      <c r="S6" s="52">
        <v>0.28000000000000003</v>
      </c>
      <c r="T6" s="52">
        <v>0.25</v>
      </c>
      <c r="U6" s="52">
        <v>0.21</v>
      </c>
      <c r="V6" s="52">
        <v>0.25</v>
      </c>
      <c r="W6" s="52">
        <v>0.19</v>
      </c>
      <c r="X6" s="52">
        <v>0.21</v>
      </c>
      <c r="Y6" s="189">
        <v>0.24</v>
      </c>
      <c r="Z6" s="189">
        <v>0.24</v>
      </c>
      <c r="AA6" s="52">
        <v>0.23</v>
      </c>
      <c r="AB6" s="189">
        <v>0.21</v>
      </c>
      <c r="AC6" s="52">
        <v>0.2</v>
      </c>
      <c r="AD6" s="189">
        <v>0.16500000000000001</v>
      </c>
      <c r="AE6" s="189">
        <v>0.18099999999999999</v>
      </c>
      <c r="AF6" s="189">
        <v>0.18</v>
      </c>
      <c r="AG6" s="197"/>
      <c r="AH6" t="str">
        <f>E4</f>
        <v>Luzern 2</v>
      </c>
    </row>
    <row r="7" spans="1:34">
      <c r="A7" s="174">
        <v>2</v>
      </c>
      <c r="B7" s="174" t="s">
        <v>68</v>
      </c>
      <c r="C7" s="52">
        <v>0.5</v>
      </c>
      <c r="D7" s="52">
        <v>0.44</v>
      </c>
      <c r="E7" s="52">
        <v>0.4</v>
      </c>
      <c r="F7" s="52">
        <v>0.36</v>
      </c>
      <c r="G7" s="52">
        <v>0.3</v>
      </c>
      <c r="H7" s="182">
        <v>0.35</v>
      </c>
      <c r="I7" s="183">
        <v>0.3</v>
      </c>
      <c r="J7" s="182">
        <v>0.3</v>
      </c>
      <c r="K7" s="52">
        <v>0.33</v>
      </c>
      <c r="L7" s="52">
        <v>0.37</v>
      </c>
      <c r="M7" s="52">
        <v>0.41</v>
      </c>
      <c r="N7" s="52">
        <v>0.4</v>
      </c>
      <c r="O7" s="52">
        <v>0.39</v>
      </c>
      <c r="P7" s="52">
        <v>0.38</v>
      </c>
      <c r="Q7" s="52">
        <v>0.4</v>
      </c>
      <c r="R7" s="52">
        <v>0.41</v>
      </c>
      <c r="S7" s="52">
        <v>0.48</v>
      </c>
      <c r="T7" s="52">
        <v>0.41</v>
      </c>
      <c r="U7" s="52">
        <v>0.35</v>
      </c>
      <c r="V7" s="52">
        <v>0.42</v>
      </c>
      <c r="W7" s="52">
        <v>0.31</v>
      </c>
      <c r="X7" s="52">
        <v>0.36</v>
      </c>
      <c r="Y7" s="189">
        <v>0.41</v>
      </c>
      <c r="Z7" s="189">
        <v>0.4</v>
      </c>
      <c r="AA7" s="52">
        <v>0.39</v>
      </c>
      <c r="AB7" s="189">
        <v>0.35</v>
      </c>
      <c r="AC7" s="52">
        <v>0.4</v>
      </c>
      <c r="AD7" s="189">
        <v>0.30199999999999999</v>
      </c>
      <c r="AE7" s="189">
        <v>0.33800000000000002</v>
      </c>
      <c r="AF7" s="189">
        <v>0.35</v>
      </c>
      <c r="AG7" s="197"/>
      <c r="AH7" t="str">
        <f>F4</f>
        <v>Luzern 2 - 10%</v>
      </c>
    </row>
    <row r="8" spans="1:34">
      <c r="A8" s="174">
        <v>3</v>
      </c>
      <c r="B8" s="174" t="s">
        <v>69</v>
      </c>
      <c r="C8" s="52">
        <v>0.7</v>
      </c>
      <c r="D8" s="52">
        <v>0.66</v>
      </c>
      <c r="E8" s="52">
        <v>0.6</v>
      </c>
      <c r="F8" s="52">
        <v>0.54</v>
      </c>
      <c r="G8" s="52">
        <v>0.5</v>
      </c>
      <c r="H8" s="182">
        <v>0.54</v>
      </c>
      <c r="I8" s="183">
        <v>0.5</v>
      </c>
      <c r="J8" s="182">
        <v>0.45</v>
      </c>
      <c r="K8" s="52">
        <v>0.5</v>
      </c>
      <c r="L8" s="52">
        <v>0.56999999999999995</v>
      </c>
      <c r="M8" s="52">
        <v>0.64</v>
      </c>
      <c r="N8" s="52">
        <v>0.6</v>
      </c>
      <c r="O8" s="52">
        <v>0.61</v>
      </c>
      <c r="P8" s="52">
        <v>0.56999999999999995</v>
      </c>
      <c r="Q8" s="52">
        <v>0.6</v>
      </c>
      <c r="R8" s="52">
        <v>0.63</v>
      </c>
      <c r="S8" s="52">
        <v>0.72</v>
      </c>
      <c r="T8" s="52">
        <v>0.63</v>
      </c>
      <c r="U8" s="52">
        <v>0.52</v>
      </c>
      <c r="V8" s="52">
        <v>0.64</v>
      </c>
      <c r="W8" s="52">
        <v>0.47</v>
      </c>
      <c r="X8" s="52">
        <v>0.56000000000000005</v>
      </c>
      <c r="Y8" s="189">
        <v>0.64</v>
      </c>
      <c r="Z8" s="189">
        <v>0.61</v>
      </c>
      <c r="AA8" s="52">
        <v>0.56999999999999995</v>
      </c>
      <c r="AB8" s="189">
        <v>0.52</v>
      </c>
      <c r="AC8" s="52">
        <v>0.6</v>
      </c>
      <c r="AD8" s="189">
        <v>0.51800000000000002</v>
      </c>
      <c r="AE8" s="189">
        <v>0.56499999999999995</v>
      </c>
      <c r="AF8" s="189">
        <v>0.60499999999999998</v>
      </c>
      <c r="AG8" s="197"/>
      <c r="AH8" t="str">
        <f>G4</f>
        <v>Luzern 3</v>
      </c>
    </row>
    <row r="9" spans="1:34">
      <c r="A9" s="174">
        <v>4</v>
      </c>
      <c r="B9" s="174" t="s">
        <v>70</v>
      </c>
      <c r="C9" s="52">
        <v>1</v>
      </c>
      <c r="D9" s="52">
        <v>0.94</v>
      </c>
      <c r="E9" s="52">
        <v>0.85</v>
      </c>
      <c r="F9" s="52">
        <v>0.77</v>
      </c>
      <c r="G9" s="52">
        <v>0.7</v>
      </c>
      <c r="H9" s="182">
        <v>0.77</v>
      </c>
      <c r="I9" s="183">
        <v>0.7</v>
      </c>
      <c r="J9" s="182">
        <v>0.64</v>
      </c>
      <c r="K9" s="52">
        <v>0.71</v>
      </c>
      <c r="L9" s="52">
        <v>0.83</v>
      </c>
      <c r="M9" s="52">
        <v>0.93</v>
      </c>
      <c r="N9" s="52">
        <v>0.9</v>
      </c>
      <c r="O9" s="52">
        <v>0.87</v>
      </c>
      <c r="P9" s="52">
        <v>0.81</v>
      </c>
      <c r="Q9" s="52">
        <v>0.8</v>
      </c>
      <c r="R9" s="52">
        <v>0.89</v>
      </c>
      <c r="S9" s="52">
        <v>1.02</v>
      </c>
      <c r="T9" s="52">
        <v>0.89</v>
      </c>
      <c r="U9" s="52">
        <v>0.73</v>
      </c>
      <c r="V9" s="52">
        <v>0.91</v>
      </c>
      <c r="W9" s="52">
        <v>0.65</v>
      </c>
      <c r="X9" s="52">
        <v>0.8</v>
      </c>
      <c r="Y9" s="189">
        <v>0.92</v>
      </c>
      <c r="Z9" s="189">
        <v>0.86</v>
      </c>
      <c r="AA9" s="52">
        <v>0.8</v>
      </c>
      <c r="AB9" s="189">
        <v>0.73</v>
      </c>
      <c r="AC9" s="52">
        <v>0.9</v>
      </c>
      <c r="AD9" s="189">
        <v>0.71399999999999997</v>
      </c>
      <c r="AE9" s="189">
        <v>0.80900000000000005</v>
      </c>
      <c r="AF9" s="189">
        <v>0.86890000000000001</v>
      </c>
      <c r="AG9" s="197"/>
      <c r="AH9" t="str">
        <f>H4</f>
        <v>Obersimmental mittel</v>
      </c>
    </row>
    <row r="10" spans="1:34">
      <c r="A10" s="174">
        <v>5</v>
      </c>
      <c r="B10" s="174" t="s">
        <v>71</v>
      </c>
      <c r="C10" s="52">
        <v>1.3</v>
      </c>
      <c r="D10" s="52">
        <v>1.27</v>
      </c>
      <c r="E10" s="52">
        <v>1.1499999999999999</v>
      </c>
      <c r="F10" s="52">
        <v>1.04</v>
      </c>
      <c r="G10" s="52">
        <v>0.9</v>
      </c>
      <c r="H10" s="182">
        <v>1.06</v>
      </c>
      <c r="I10" s="183">
        <v>1</v>
      </c>
      <c r="J10" s="182">
        <v>0.86</v>
      </c>
      <c r="K10" s="52">
        <v>0.96</v>
      </c>
      <c r="L10" s="52">
        <v>1.1299999999999999</v>
      </c>
      <c r="M10" s="52">
        <v>1.27</v>
      </c>
      <c r="N10" s="52">
        <v>1.1000000000000001</v>
      </c>
      <c r="O10" s="52">
        <v>1.19</v>
      </c>
      <c r="P10" s="52">
        <v>1.1000000000000001</v>
      </c>
      <c r="Q10" s="52">
        <v>1.1000000000000001</v>
      </c>
      <c r="R10" s="52">
        <v>1.21</v>
      </c>
      <c r="S10" s="52">
        <v>1.38</v>
      </c>
      <c r="T10" s="52">
        <v>1.21</v>
      </c>
      <c r="U10" s="52">
        <v>0.98</v>
      </c>
      <c r="V10" s="52">
        <v>1.24</v>
      </c>
      <c r="W10" s="52">
        <v>0.88</v>
      </c>
      <c r="X10" s="52">
        <v>1.0900000000000001</v>
      </c>
      <c r="Y10" s="189">
        <v>1.26</v>
      </c>
      <c r="Z10" s="189">
        <v>1.17</v>
      </c>
      <c r="AA10" s="52">
        <v>1.08</v>
      </c>
      <c r="AB10" s="189">
        <v>0.98</v>
      </c>
      <c r="AC10" s="52">
        <v>1.2</v>
      </c>
      <c r="AD10" s="189">
        <v>0.93700000000000006</v>
      </c>
      <c r="AE10" s="189">
        <v>1.0840000000000001</v>
      </c>
      <c r="AF10" s="189">
        <v>1.2230000000000001</v>
      </c>
      <c r="AG10" s="197"/>
      <c r="AH10" t="str">
        <f>I4</f>
        <v>Meiringen-Rosenlaui mittel</v>
      </c>
    </row>
    <row r="11" spans="1:34">
      <c r="A11" s="174">
        <v>6</v>
      </c>
      <c r="B11" s="174" t="s">
        <v>72</v>
      </c>
      <c r="C11" s="52">
        <v>1.6</v>
      </c>
      <c r="D11" s="52">
        <v>1.6</v>
      </c>
      <c r="E11" s="52">
        <v>1.45</v>
      </c>
      <c r="F11" s="52">
        <v>1.31</v>
      </c>
      <c r="G11" s="52">
        <v>1.2</v>
      </c>
      <c r="H11" s="182">
        <v>1.38</v>
      </c>
      <c r="I11" s="183">
        <v>1.3</v>
      </c>
      <c r="J11" s="182">
        <v>1.1200000000000001</v>
      </c>
      <c r="K11" s="52">
        <v>1.25</v>
      </c>
      <c r="L11" s="52">
        <v>1.48</v>
      </c>
      <c r="M11" s="52">
        <v>1.66</v>
      </c>
      <c r="N11" s="52">
        <v>1.5</v>
      </c>
      <c r="O11" s="52">
        <v>1.56</v>
      </c>
      <c r="P11" s="52">
        <v>1.43</v>
      </c>
      <c r="Q11" s="52">
        <v>1.4</v>
      </c>
      <c r="R11" s="52">
        <v>1.57</v>
      </c>
      <c r="S11" s="52">
        <v>1.78</v>
      </c>
      <c r="T11" s="52">
        <v>1.57</v>
      </c>
      <c r="U11" s="52">
        <v>1.27</v>
      </c>
      <c r="V11" s="52">
        <v>1.61</v>
      </c>
      <c r="W11" s="52">
        <v>1.1299999999999999</v>
      </c>
      <c r="X11" s="52">
        <v>1.43</v>
      </c>
      <c r="Y11" s="189">
        <v>1.64</v>
      </c>
      <c r="Z11" s="189">
        <v>1.51</v>
      </c>
      <c r="AA11" s="52">
        <v>1.4</v>
      </c>
      <c r="AB11" s="189">
        <v>1.27</v>
      </c>
      <c r="AC11" s="52">
        <v>1.6</v>
      </c>
      <c r="AD11" s="189">
        <v>1.1859999999999999</v>
      </c>
      <c r="AE11" s="189">
        <v>1.39</v>
      </c>
      <c r="AF11" s="189">
        <v>1.587</v>
      </c>
      <c r="AG11" s="197"/>
      <c r="AH11" s="9" t="str">
        <f>J4</f>
        <v>Kander-Engstligen mittel</v>
      </c>
    </row>
    <row r="12" spans="1:34">
      <c r="A12" s="174">
        <v>7</v>
      </c>
      <c r="B12" s="174" t="s">
        <v>73</v>
      </c>
      <c r="C12" s="52">
        <v>2</v>
      </c>
      <c r="D12" s="52">
        <v>1.98</v>
      </c>
      <c r="E12" s="52">
        <v>1.8</v>
      </c>
      <c r="F12" s="52">
        <v>1.62</v>
      </c>
      <c r="G12" s="52">
        <v>1.5</v>
      </c>
      <c r="H12" s="182">
        <v>1.76</v>
      </c>
      <c r="I12" s="183">
        <v>1.7</v>
      </c>
      <c r="J12" s="182">
        <v>1.42</v>
      </c>
      <c r="K12" s="52">
        <v>1.57</v>
      </c>
      <c r="L12" s="52">
        <v>1.87</v>
      </c>
      <c r="M12" s="52">
        <v>2.09</v>
      </c>
      <c r="N12" s="52">
        <v>1.8</v>
      </c>
      <c r="O12" s="52">
        <v>1.97</v>
      </c>
      <c r="P12" s="52">
        <v>1.81</v>
      </c>
      <c r="Q12" s="52">
        <v>1.8</v>
      </c>
      <c r="R12" s="52">
        <v>1.97</v>
      </c>
      <c r="S12" s="52">
        <v>2.2400000000000002</v>
      </c>
      <c r="T12" s="52">
        <v>1.97</v>
      </c>
      <c r="U12" s="52">
        <v>1.61</v>
      </c>
      <c r="V12" s="52">
        <v>2.04</v>
      </c>
      <c r="W12" s="52">
        <v>1.42</v>
      </c>
      <c r="X12" s="52">
        <v>1.82</v>
      </c>
      <c r="Y12" s="189">
        <v>2.0699999999999998</v>
      </c>
      <c r="Z12" s="189">
        <v>1.89</v>
      </c>
      <c r="AA12" s="52">
        <v>1.77</v>
      </c>
      <c r="AB12" s="189">
        <v>1.61</v>
      </c>
      <c r="AC12" s="52">
        <v>2</v>
      </c>
      <c r="AD12" s="189">
        <v>1.4630000000000001</v>
      </c>
      <c r="AE12" s="189">
        <v>1.728</v>
      </c>
      <c r="AF12" s="189">
        <v>1.9890000000000001</v>
      </c>
      <c r="AG12" s="197"/>
      <c r="AH12" s="9" t="str">
        <f>K4</f>
        <v>Röthenbach-Eriz kurz</v>
      </c>
    </row>
    <row r="13" spans="1:34">
      <c r="A13" s="174">
        <v>8</v>
      </c>
      <c r="B13" s="174" t="s">
        <v>74</v>
      </c>
      <c r="C13" s="52">
        <v>2.5</v>
      </c>
      <c r="D13" s="52">
        <v>2.42</v>
      </c>
      <c r="E13" s="52">
        <v>2.2000000000000002</v>
      </c>
      <c r="F13" s="52">
        <v>1.98</v>
      </c>
      <c r="G13" s="52">
        <v>1.9</v>
      </c>
      <c r="H13" s="182">
        <v>2.1800000000000002</v>
      </c>
      <c r="I13" s="183">
        <v>2.1</v>
      </c>
      <c r="J13" s="182">
        <v>1.76</v>
      </c>
      <c r="K13" s="52">
        <v>1.92</v>
      </c>
      <c r="L13" s="52">
        <v>2.31</v>
      </c>
      <c r="M13" s="52">
        <v>2.57</v>
      </c>
      <c r="N13" s="52">
        <v>2.2000000000000002</v>
      </c>
      <c r="O13" s="52">
        <v>2.4300000000000002</v>
      </c>
      <c r="P13" s="52">
        <v>2.23</v>
      </c>
      <c r="Q13" s="52">
        <v>2.2000000000000002</v>
      </c>
      <c r="R13" s="52">
        <v>2.42</v>
      </c>
      <c r="S13" s="52">
        <v>2.74</v>
      </c>
      <c r="T13" s="52">
        <v>2.42</v>
      </c>
      <c r="U13" s="52">
        <v>1.98</v>
      </c>
      <c r="V13" s="52">
        <v>2.5099999999999998</v>
      </c>
      <c r="W13" s="52">
        <v>1.75</v>
      </c>
      <c r="X13" s="52">
        <v>2.2599999999999998</v>
      </c>
      <c r="Y13" s="189">
        <v>2.5499999999999998</v>
      </c>
      <c r="Z13" s="189">
        <v>2.3199999999999998</v>
      </c>
      <c r="AA13" s="52">
        <v>2.1800000000000002</v>
      </c>
      <c r="AB13" s="189">
        <v>1.98</v>
      </c>
      <c r="AC13" s="52">
        <v>2.4</v>
      </c>
      <c r="AD13" s="189">
        <v>1.7669999999999999</v>
      </c>
      <c r="AE13" s="189">
        <v>2.097</v>
      </c>
      <c r="AF13" s="189">
        <v>2.4279999999999999</v>
      </c>
      <c r="AG13" s="197"/>
      <c r="AH13" t="str">
        <f>L4</f>
        <v>Röthenbach-Eriz mittel</v>
      </c>
    </row>
    <row r="14" spans="1:34">
      <c r="A14" s="174">
        <v>9</v>
      </c>
      <c r="B14" s="174" t="s">
        <v>75</v>
      </c>
      <c r="C14" s="52">
        <v>3</v>
      </c>
      <c r="D14" s="52">
        <v>2.97</v>
      </c>
      <c r="E14" s="52">
        <v>2.7</v>
      </c>
      <c r="F14" s="52">
        <v>2.4300000000000002</v>
      </c>
      <c r="G14" s="52">
        <v>2.2999999999999998</v>
      </c>
      <c r="H14" s="182">
        <v>2.64</v>
      </c>
      <c r="I14" s="183">
        <v>2.5</v>
      </c>
      <c r="J14" s="182">
        <v>2.13</v>
      </c>
      <c r="K14" s="52">
        <v>2.2999999999999998</v>
      </c>
      <c r="L14" s="52">
        <v>2.78</v>
      </c>
      <c r="M14" s="52">
        <v>3.08</v>
      </c>
      <c r="N14" s="52">
        <v>2.7</v>
      </c>
      <c r="O14" s="52">
        <v>2.92</v>
      </c>
      <c r="P14" s="52">
        <v>2.7</v>
      </c>
      <c r="Q14" s="52">
        <v>2.7</v>
      </c>
      <c r="R14" s="52">
        <v>2.92</v>
      </c>
      <c r="S14" s="52">
        <v>3.28</v>
      </c>
      <c r="T14" s="52">
        <v>2.92</v>
      </c>
      <c r="U14" s="52">
        <v>2.4</v>
      </c>
      <c r="V14" s="52">
        <v>3.03</v>
      </c>
      <c r="W14" s="52">
        <v>2.1</v>
      </c>
      <c r="X14" s="52">
        <v>2.75</v>
      </c>
      <c r="Y14" s="189">
        <v>3.06</v>
      </c>
      <c r="Z14" s="189">
        <v>2.77</v>
      </c>
      <c r="AA14" s="52">
        <v>2.64</v>
      </c>
      <c r="AB14" s="189">
        <v>2.4</v>
      </c>
      <c r="AC14" s="52">
        <v>2.8</v>
      </c>
      <c r="AD14" s="189">
        <v>2.0979999999999999</v>
      </c>
      <c r="AE14" s="189">
        <v>2.4980000000000002</v>
      </c>
      <c r="AF14" s="189">
        <v>2.903</v>
      </c>
      <c r="AG14" s="197"/>
      <c r="AH14" t="str">
        <f>M4</f>
        <v>Röthenbach-Eriz lang</v>
      </c>
    </row>
    <row r="15" spans="1:34">
      <c r="A15" s="174">
        <v>10</v>
      </c>
      <c r="B15" s="174" t="s">
        <v>76</v>
      </c>
      <c r="C15" s="52">
        <v>3.5</v>
      </c>
      <c r="D15" s="52">
        <v>3.52</v>
      </c>
      <c r="E15" s="52">
        <v>3.2</v>
      </c>
      <c r="F15" s="52">
        <v>2.88</v>
      </c>
      <c r="G15" s="52">
        <v>2.75</v>
      </c>
      <c r="H15" s="182">
        <v>3.13</v>
      </c>
      <c r="I15" s="183">
        <v>3</v>
      </c>
      <c r="J15" s="182">
        <v>2.54</v>
      </c>
      <c r="K15" s="52">
        <v>2.71</v>
      </c>
      <c r="L15" s="52">
        <v>3.29</v>
      </c>
      <c r="M15" s="52">
        <v>3.62</v>
      </c>
      <c r="N15" s="52">
        <v>3.2</v>
      </c>
      <c r="O15" s="52">
        <v>3.44</v>
      </c>
      <c r="P15" s="52">
        <v>3.21</v>
      </c>
      <c r="Q15" s="52">
        <v>3.2</v>
      </c>
      <c r="R15" s="52">
        <v>3.45</v>
      </c>
      <c r="S15" s="52">
        <v>3.87</v>
      </c>
      <c r="T15" s="52">
        <v>3.45</v>
      </c>
      <c r="U15" s="52">
        <v>2.86</v>
      </c>
      <c r="V15" s="52">
        <v>3.6</v>
      </c>
      <c r="W15" s="52">
        <v>2.4900000000000002</v>
      </c>
      <c r="X15" s="52">
        <v>3.28</v>
      </c>
      <c r="Y15" s="189">
        <v>3.61</v>
      </c>
      <c r="Z15" s="189">
        <v>3.26</v>
      </c>
      <c r="AA15" s="52">
        <v>3.15</v>
      </c>
      <c r="AB15" s="189">
        <v>2.86</v>
      </c>
      <c r="AC15" s="52">
        <v>3.3</v>
      </c>
      <c r="AD15" s="189">
        <v>2.456</v>
      </c>
      <c r="AE15" s="189">
        <v>2.9289999999999998</v>
      </c>
      <c r="AF15" s="189">
        <v>3.4159999999999999</v>
      </c>
      <c r="AG15" s="197"/>
      <c r="AH15" t="str">
        <f>N4</f>
        <v>Obergurnigel</v>
      </c>
    </row>
    <row r="16" spans="1:34">
      <c r="A16" s="174">
        <v>11</v>
      </c>
      <c r="B16" s="174" t="s">
        <v>77</v>
      </c>
      <c r="C16" s="52">
        <v>4.0999999999999996</v>
      </c>
      <c r="D16" s="52">
        <v>4.07</v>
      </c>
      <c r="E16" s="52">
        <v>3.7</v>
      </c>
      <c r="F16" s="52">
        <v>3.33</v>
      </c>
      <c r="G16" s="52">
        <v>3.25</v>
      </c>
      <c r="H16" s="182">
        <v>3.67</v>
      </c>
      <c r="I16" s="183">
        <v>3.5</v>
      </c>
      <c r="J16" s="182">
        <v>2.99</v>
      </c>
      <c r="K16" s="52">
        <v>3.13</v>
      </c>
      <c r="L16" s="52">
        <v>3.83</v>
      </c>
      <c r="M16" s="52">
        <v>4.1900000000000004</v>
      </c>
      <c r="N16" s="52">
        <v>3.7</v>
      </c>
      <c r="O16" s="52">
        <v>4.28</v>
      </c>
      <c r="P16" s="52">
        <v>3.77</v>
      </c>
      <c r="Q16" s="52">
        <v>3.7</v>
      </c>
      <c r="R16" s="52">
        <v>4.03</v>
      </c>
      <c r="S16" s="52">
        <v>4.49</v>
      </c>
      <c r="T16" s="52">
        <v>4.03</v>
      </c>
      <c r="U16" s="52">
        <v>3.36</v>
      </c>
      <c r="V16" s="52">
        <v>4.21</v>
      </c>
      <c r="W16" s="52">
        <v>2.91</v>
      </c>
      <c r="X16" s="52">
        <v>3.85</v>
      </c>
      <c r="Y16" s="189">
        <v>4.1900000000000004</v>
      </c>
      <c r="Z16" s="189">
        <v>3.77</v>
      </c>
      <c r="AA16" s="52">
        <v>3.7</v>
      </c>
      <c r="AB16" s="189">
        <v>3.36</v>
      </c>
      <c r="AC16" s="52">
        <v>3.8</v>
      </c>
      <c r="AD16" s="189">
        <v>2.84</v>
      </c>
      <c r="AE16" s="189">
        <v>3.3919999999999999</v>
      </c>
      <c r="AF16" s="189">
        <v>3.9660000000000002</v>
      </c>
      <c r="AG16" s="197"/>
      <c r="AH16" t="str">
        <f>O4</f>
        <v>Rüschegg</v>
      </c>
    </row>
    <row r="17" spans="1:34">
      <c r="A17" s="174">
        <v>12</v>
      </c>
      <c r="B17" s="174" t="s">
        <v>78</v>
      </c>
      <c r="C17" s="52">
        <v>4.7</v>
      </c>
      <c r="D17" s="52">
        <v>4.62</v>
      </c>
      <c r="E17" s="52">
        <v>4.2</v>
      </c>
      <c r="F17" s="52">
        <v>3.78</v>
      </c>
      <c r="G17" s="52">
        <v>3.75</v>
      </c>
      <c r="H17" s="182">
        <v>4.24</v>
      </c>
      <c r="I17" s="183">
        <v>4.0999999999999996</v>
      </c>
      <c r="J17" s="182">
        <v>3.47</v>
      </c>
      <c r="K17" s="52">
        <v>3.58</v>
      </c>
      <c r="L17" s="52">
        <v>4.3899999999999997</v>
      </c>
      <c r="M17" s="52">
        <v>4.7699999999999996</v>
      </c>
      <c r="N17" s="52">
        <v>4.2</v>
      </c>
      <c r="O17" s="52">
        <v>4.87</v>
      </c>
      <c r="P17" s="52">
        <v>4.37</v>
      </c>
      <c r="Q17" s="52">
        <v>4.3</v>
      </c>
      <c r="R17" s="52">
        <v>4.6399999999999997</v>
      </c>
      <c r="S17" s="52">
        <v>5.15</v>
      </c>
      <c r="T17" s="52">
        <v>4.6399999999999997</v>
      </c>
      <c r="U17" s="52">
        <v>3.91</v>
      </c>
      <c r="V17" s="52">
        <v>4.8499999999999996</v>
      </c>
      <c r="W17" s="52">
        <v>3.36</v>
      </c>
      <c r="X17" s="52">
        <v>4.47</v>
      </c>
      <c r="Y17" s="189">
        <v>4.8</v>
      </c>
      <c r="Z17" s="189">
        <v>4.3099999999999996</v>
      </c>
      <c r="AA17" s="52">
        <v>4.3</v>
      </c>
      <c r="AB17" s="189">
        <v>3.91</v>
      </c>
      <c r="AC17" s="52">
        <v>4.3</v>
      </c>
      <c r="AD17" s="189">
        <v>3.2519999999999998</v>
      </c>
      <c r="AE17" s="189">
        <v>3.887</v>
      </c>
      <c r="AF17" s="189">
        <v>4.5540000000000003</v>
      </c>
      <c r="AG17" s="197"/>
      <c r="AH17" t="str">
        <f>P4</f>
        <v>BG Wahlern</v>
      </c>
    </row>
    <row r="18" spans="1:34">
      <c r="A18" s="174">
        <v>13</v>
      </c>
      <c r="B18" s="174" t="s">
        <v>79</v>
      </c>
      <c r="C18" s="52">
        <v>5.5</v>
      </c>
      <c r="D18" s="52">
        <v>5.28</v>
      </c>
      <c r="E18" s="52">
        <v>4.8</v>
      </c>
      <c r="F18" s="52">
        <v>4.32</v>
      </c>
      <c r="G18" s="52">
        <v>4.25</v>
      </c>
      <c r="H18" s="182">
        <v>4.84</v>
      </c>
      <c r="I18" s="183">
        <v>4.7</v>
      </c>
      <c r="J18" s="182">
        <v>3.98</v>
      </c>
      <c r="K18" s="52">
        <v>4.05</v>
      </c>
      <c r="L18" s="52">
        <v>4.9800000000000004</v>
      </c>
      <c r="M18" s="52">
        <v>5.37</v>
      </c>
      <c r="N18" s="52">
        <v>4.8</v>
      </c>
      <c r="O18" s="52">
        <v>5.48</v>
      </c>
      <c r="P18" s="52">
        <v>5</v>
      </c>
      <c r="Q18" s="52">
        <v>4.9000000000000004</v>
      </c>
      <c r="R18" s="52">
        <v>5.28</v>
      </c>
      <c r="S18" s="52">
        <v>5.84</v>
      </c>
      <c r="T18" s="52">
        <v>5.28</v>
      </c>
      <c r="U18" s="52">
        <v>4.5</v>
      </c>
      <c r="V18" s="52">
        <v>5.54</v>
      </c>
      <c r="W18" s="52">
        <v>3.84</v>
      </c>
      <c r="X18" s="52">
        <v>5.12</v>
      </c>
      <c r="Y18" s="189">
        <v>5.43</v>
      </c>
      <c r="Z18" s="189">
        <v>4.8600000000000003</v>
      </c>
      <c r="AA18" s="52">
        <v>4.95</v>
      </c>
      <c r="AB18" s="189">
        <v>4.5</v>
      </c>
      <c r="AC18" s="52">
        <v>4.9000000000000004</v>
      </c>
      <c r="AD18" s="189">
        <v>3.6909999999999998</v>
      </c>
      <c r="AE18" s="189">
        <v>4.4119999999999999</v>
      </c>
      <c r="AF18" s="189">
        <v>5.1779999999999999</v>
      </c>
      <c r="AG18" s="197"/>
      <c r="AH18" t="str">
        <f>Q4</f>
        <v>Wattenwil-Blumenstein mittel</v>
      </c>
    </row>
    <row r="19" spans="1:34">
      <c r="A19" s="174">
        <v>14</v>
      </c>
      <c r="B19" s="174" t="s">
        <v>80</v>
      </c>
      <c r="C19" s="52">
        <v>6.1</v>
      </c>
      <c r="D19" s="52">
        <v>5.94</v>
      </c>
      <c r="E19" s="52">
        <v>5.4</v>
      </c>
      <c r="F19" s="52">
        <v>4.8600000000000003</v>
      </c>
      <c r="G19" s="52">
        <v>4.75</v>
      </c>
      <c r="H19" s="182">
        <v>5.48</v>
      </c>
      <c r="I19" s="183">
        <v>5.4</v>
      </c>
      <c r="J19" s="182">
        <v>4.53</v>
      </c>
      <c r="K19" s="52">
        <v>4.53</v>
      </c>
      <c r="L19" s="52">
        <v>5.59</v>
      </c>
      <c r="M19" s="52">
        <v>5.98</v>
      </c>
      <c r="N19" s="52">
        <v>5.4</v>
      </c>
      <c r="O19" s="52">
        <v>6.15</v>
      </c>
      <c r="P19" s="52">
        <v>5.68</v>
      </c>
      <c r="Q19" s="201">
        <v>5.5</v>
      </c>
      <c r="R19" s="52">
        <v>5.95</v>
      </c>
      <c r="S19" s="52">
        <v>6.55</v>
      </c>
      <c r="T19" s="52">
        <v>5.95</v>
      </c>
      <c r="U19" s="52">
        <v>5.13</v>
      </c>
      <c r="V19" s="52">
        <v>6.26</v>
      </c>
      <c r="W19" s="52">
        <v>4.3499999999999996</v>
      </c>
      <c r="X19" s="52">
        <v>5.82</v>
      </c>
      <c r="Y19" s="189">
        <v>6.08</v>
      </c>
      <c r="Z19" s="189">
        <v>5.44</v>
      </c>
      <c r="AA19" s="52">
        <v>5.64</v>
      </c>
      <c r="AB19" s="189">
        <v>5.13</v>
      </c>
      <c r="AC19" s="52">
        <v>5.5</v>
      </c>
      <c r="AD19" s="189">
        <v>4.157</v>
      </c>
      <c r="AE19" s="189">
        <v>4.9690000000000003</v>
      </c>
      <c r="AF19" s="189">
        <v>5.8390000000000004</v>
      </c>
      <c r="AG19" s="197"/>
      <c r="AH19" t="str">
        <f>R4</f>
        <v>Sigriswil</v>
      </c>
    </row>
    <row r="20" spans="1:34">
      <c r="A20" s="174">
        <v>15</v>
      </c>
      <c r="B20" s="174" t="s">
        <v>81</v>
      </c>
      <c r="C20" s="52">
        <v>6.9</v>
      </c>
      <c r="D20" s="52">
        <v>6.6</v>
      </c>
      <c r="E20" s="52">
        <v>6</v>
      </c>
      <c r="F20" s="52">
        <v>5.4</v>
      </c>
      <c r="G20" s="52">
        <v>5.25</v>
      </c>
      <c r="H20" s="182">
        <v>6.14</v>
      </c>
      <c r="I20" s="183">
        <v>6.1</v>
      </c>
      <c r="J20" s="182">
        <v>5.1100000000000003</v>
      </c>
      <c r="K20" s="52">
        <v>5.03</v>
      </c>
      <c r="L20" s="52">
        <v>6.21</v>
      </c>
      <c r="M20" s="52">
        <v>6.6</v>
      </c>
      <c r="N20" s="52">
        <v>6</v>
      </c>
      <c r="O20" s="52">
        <v>6.74</v>
      </c>
      <c r="P20" s="52">
        <v>6.39</v>
      </c>
      <c r="Q20" s="52">
        <v>6.2</v>
      </c>
      <c r="R20" s="52">
        <v>6.66</v>
      </c>
      <c r="S20" s="52">
        <v>7.29</v>
      </c>
      <c r="T20" s="52">
        <v>6.66</v>
      </c>
      <c r="U20" s="52">
        <v>5.81</v>
      </c>
      <c r="V20" s="52">
        <v>7.01</v>
      </c>
      <c r="W20" s="52">
        <v>4.8899999999999997</v>
      </c>
      <c r="X20" s="52">
        <v>6.55</v>
      </c>
      <c r="Y20" s="189">
        <v>6.75</v>
      </c>
      <c r="Z20" s="189">
        <v>6.03</v>
      </c>
      <c r="AA20" s="52">
        <v>6.39</v>
      </c>
      <c r="AB20" s="189">
        <v>5.81</v>
      </c>
      <c r="AC20" s="52">
        <v>6.2</v>
      </c>
      <c r="AD20" s="189">
        <v>4.6500000000000004</v>
      </c>
      <c r="AE20" s="189">
        <v>5.5579999999999998</v>
      </c>
      <c r="AF20" s="189">
        <v>6.5380000000000003</v>
      </c>
      <c r="AG20" s="197"/>
      <c r="AH20" t="str">
        <f>S4</f>
        <v>Thun-Sigriswil 1</v>
      </c>
    </row>
    <row r="21" spans="1:34">
      <c r="A21" s="174">
        <v>16</v>
      </c>
      <c r="B21" s="174" t="s">
        <v>82</v>
      </c>
      <c r="C21" s="52">
        <v>7.7</v>
      </c>
      <c r="D21" s="52">
        <v>7.26</v>
      </c>
      <c r="E21" s="52">
        <v>6.6</v>
      </c>
      <c r="F21" s="52">
        <v>5.94</v>
      </c>
      <c r="G21" s="52">
        <v>5.8</v>
      </c>
      <c r="H21" s="182">
        <v>6.82</v>
      </c>
      <c r="I21" s="183">
        <v>6.8</v>
      </c>
      <c r="J21" s="182">
        <v>5.72</v>
      </c>
      <c r="K21" s="52">
        <v>5.53</v>
      </c>
      <c r="L21" s="52">
        <v>6.85</v>
      </c>
      <c r="M21" s="52">
        <v>7.22</v>
      </c>
      <c r="N21" s="52">
        <v>6.6</v>
      </c>
      <c r="O21" s="52">
        <v>7.2</v>
      </c>
      <c r="P21" s="52">
        <v>7.14</v>
      </c>
      <c r="Q21" s="52">
        <v>6.9</v>
      </c>
      <c r="R21" s="52">
        <v>7.39</v>
      </c>
      <c r="S21" s="52">
        <v>8.06</v>
      </c>
      <c r="T21" s="52">
        <v>7.39</v>
      </c>
      <c r="U21" s="52">
        <v>6.53</v>
      </c>
      <c r="V21" s="52">
        <v>7.79</v>
      </c>
      <c r="W21" s="52">
        <v>5.45</v>
      </c>
      <c r="X21" s="52">
        <v>7.31</v>
      </c>
      <c r="Y21" s="189">
        <v>7.43</v>
      </c>
      <c r="Z21" s="189">
        <v>6.64</v>
      </c>
      <c r="AA21" s="52">
        <v>7.18</v>
      </c>
      <c r="AB21" s="189">
        <v>6.53</v>
      </c>
      <c r="AC21" s="52">
        <v>6.9</v>
      </c>
      <c r="AD21" s="189">
        <v>5.1710000000000003</v>
      </c>
      <c r="AE21" s="189">
        <v>6.1769999999999996</v>
      </c>
      <c r="AF21" s="189">
        <v>7.274</v>
      </c>
      <c r="AG21" s="197"/>
      <c r="AH21" t="str">
        <f>T4</f>
        <v>Thun-Sigriswil 2</v>
      </c>
    </row>
    <row r="22" spans="1:34">
      <c r="A22" s="174">
        <v>17</v>
      </c>
      <c r="B22" s="174" t="s">
        <v>83</v>
      </c>
      <c r="C22" s="52">
        <v>8.5</v>
      </c>
      <c r="D22" s="52">
        <v>8.14</v>
      </c>
      <c r="E22" s="52">
        <v>7.4</v>
      </c>
      <c r="F22" s="52">
        <v>6.66</v>
      </c>
      <c r="G22" s="52">
        <v>6.4</v>
      </c>
      <c r="H22" s="182">
        <v>7.53</v>
      </c>
      <c r="I22" s="183">
        <v>7.6</v>
      </c>
      <c r="J22" s="182">
        <v>6.36</v>
      </c>
      <c r="K22" s="52">
        <v>6.05</v>
      </c>
      <c r="L22" s="52">
        <v>7.5</v>
      </c>
      <c r="M22" s="52">
        <v>7.84</v>
      </c>
      <c r="N22" s="52">
        <v>7.4</v>
      </c>
      <c r="O22" s="52"/>
      <c r="P22" s="52">
        <v>7.92</v>
      </c>
      <c r="Q22" s="52"/>
      <c r="R22" s="52">
        <v>8.14</v>
      </c>
      <c r="S22" s="52">
        <v>8.84</v>
      </c>
      <c r="T22" s="52">
        <v>8.14</v>
      </c>
      <c r="U22" s="52">
        <v>7.29</v>
      </c>
      <c r="V22" s="52">
        <v>8.6</v>
      </c>
      <c r="W22" s="52">
        <v>6.04</v>
      </c>
      <c r="X22" s="52">
        <v>8.11</v>
      </c>
      <c r="Y22" s="189">
        <v>8.1300000000000008</v>
      </c>
      <c r="Z22" s="189">
        <v>7.25</v>
      </c>
      <c r="AA22" s="52">
        <v>8.02</v>
      </c>
      <c r="AB22" s="189">
        <v>7.29</v>
      </c>
      <c r="AC22" s="52">
        <v>7.6</v>
      </c>
      <c r="AD22" s="189">
        <v>5.718</v>
      </c>
      <c r="AE22" s="189">
        <v>6.8280000000000003</v>
      </c>
      <c r="AF22" s="189">
        <v>8.0459999999999994</v>
      </c>
      <c r="AG22" s="197"/>
      <c r="AH22" t="str">
        <f>U4</f>
        <v>Thun-Sigriswil 3</v>
      </c>
    </row>
    <row r="23" spans="1:34">
      <c r="A23" s="174">
        <v>18</v>
      </c>
      <c r="B23" s="174" t="s">
        <v>84</v>
      </c>
      <c r="C23" s="52">
        <v>9.4</v>
      </c>
      <c r="D23" s="52">
        <v>9.02</v>
      </c>
      <c r="E23" s="52">
        <v>8.1999999999999993</v>
      </c>
      <c r="F23" s="52">
        <v>7.38</v>
      </c>
      <c r="G23" s="52">
        <v>7</v>
      </c>
      <c r="H23" s="182">
        <v>8.26</v>
      </c>
      <c r="I23" s="183">
        <v>8.4</v>
      </c>
      <c r="J23" s="182">
        <v>7.03</v>
      </c>
      <c r="K23" s="52">
        <v>6.57</v>
      </c>
      <c r="L23" s="52">
        <v>8.15</v>
      </c>
      <c r="M23" s="52">
        <v>8.4499999999999993</v>
      </c>
      <c r="N23" s="52">
        <v>8.1999999999999993</v>
      </c>
      <c r="O23" s="52"/>
      <c r="P23" s="52">
        <v>8.73</v>
      </c>
      <c r="Q23" s="52"/>
      <c r="R23" s="52">
        <v>8.92</v>
      </c>
      <c r="S23" s="52">
        <v>9.64</v>
      </c>
      <c r="T23" s="52">
        <v>8.92</v>
      </c>
      <c r="U23" s="52">
        <v>8.09</v>
      </c>
      <c r="V23" s="52">
        <v>9.44</v>
      </c>
      <c r="W23" s="52">
        <v>6.66</v>
      </c>
      <c r="X23" s="52">
        <v>8.94</v>
      </c>
      <c r="Y23" s="189">
        <v>8.83</v>
      </c>
      <c r="Z23" s="189">
        <v>7.88</v>
      </c>
      <c r="AA23" s="52">
        <v>8.9</v>
      </c>
      <c r="AB23" s="189">
        <v>8.09</v>
      </c>
      <c r="AC23" s="52">
        <v>8.4</v>
      </c>
      <c r="AD23" s="189">
        <v>6.2919999999999998</v>
      </c>
      <c r="AE23" s="189">
        <v>7.5110000000000001</v>
      </c>
      <c r="AF23" s="189">
        <v>8.8559999999999999</v>
      </c>
      <c r="AG23" s="197"/>
      <c r="AH23" t="str">
        <f>V4</f>
        <v>SFB 3+5 untere</v>
      </c>
    </row>
    <row r="24" spans="1:34">
      <c r="A24" s="174">
        <v>19</v>
      </c>
      <c r="B24" s="174" t="s">
        <v>85</v>
      </c>
      <c r="C24" s="52">
        <v>10.4</v>
      </c>
      <c r="D24" s="52">
        <v>9.9</v>
      </c>
      <c r="E24" s="52">
        <v>9</v>
      </c>
      <c r="F24" s="52">
        <v>8.1</v>
      </c>
      <c r="G24" s="52">
        <v>7.6</v>
      </c>
      <c r="H24" s="182">
        <v>9.01</v>
      </c>
      <c r="I24" s="183">
        <v>9.1999999999999993</v>
      </c>
      <c r="J24" s="182">
        <v>7.73</v>
      </c>
      <c r="K24" s="52">
        <v>7.1</v>
      </c>
      <c r="L24" s="52">
        <v>8.81</v>
      </c>
      <c r="M24" s="52">
        <v>9.1</v>
      </c>
      <c r="N24" s="52">
        <v>9</v>
      </c>
      <c r="O24" s="52"/>
      <c r="P24" s="52">
        <v>9.58</v>
      </c>
      <c r="Q24" s="52"/>
      <c r="R24" s="52">
        <v>9.7200000000000006</v>
      </c>
      <c r="S24" s="52">
        <v>10.46</v>
      </c>
      <c r="T24" s="52">
        <v>9.7200000000000006</v>
      </c>
      <c r="U24" s="52">
        <v>8.93</v>
      </c>
      <c r="V24" s="52">
        <v>10.3</v>
      </c>
      <c r="W24" s="52">
        <v>7.3</v>
      </c>
      <c r="X24" s="52">
        <v>9.7899999999999991</v>
      </c>
      <c r="Y24" s="189">
        <v>9.5299999999999994</v>
      </c>
      <c r="Z24" s="189">
        <v>8.51</v>
      </c>
      <c r="AA24" s="52">
        <v>9.5299999999999994</v>
      </c>
      <c r="AB24" s="189">
        <v>8.93</v>
      </c>
      <c r="AC24" s="52">
        <v>9.1999999999999993</v>
      </c>
      <c r="AD24" s="189">
        <v>6.8929999999999998</v>
      </c>
      <c r="AE24" s="189">
        <v>8.2240000000000002</v>
      </c>
      <c r="AF24" s="189">
        <v>9.7029999999999994</v>
      </c>
      <c r="AG24" s="197"/>
      <c r="AH24" t="str">
        <f>W4</f>
        <v>SBF 3+5 obere</v>
      </c>
    </row>
    <row r="25" spans="1:34">
      <c r="A25" s="174">
        <v>20</v>
      </c>
      <c r="B25" s="174" t="s">
        <v>86</v>
      </c>
      <c r="C25" s="52">
        <v>11.4</v>
      </c>
      <c r="D25" s="52">
        <v>10.78</v>
      </c>
      <c r="E25" s="52">
        <v>9.8000000000000007</v>
      </c>
      <c r="F25" s="52">
        <v>8.82</v>
      </c>
      <c r="G25" s="52">
        <v>8.3000000000000007</v>
      </c>
      <c r="H25" s="182">
        <v>9.6</v>
      </c>
      <c r="I25" s="183">
        <v>10.1</v>
      </c>
      <c r="J25" s="182">
        <v>8.4499999999999993</v>
      </c>
      <c r="K25" s="52">
        <v>7.63</v>
      </c>
      <c r="L25" s="52">
        <v>9.48</v>
      </c>
      <c r="M25" s="52">
        <v>9.66</v>
      </c>
      <c r="N25" s="52">
        <v>9.8000000000000007</v>
      </c>
      <c r="O25" s="52"/>
      <c r="P25" s="52">
        <v>10.46</v>
      </c>
      <c r="Q25" s="52"/>
      <c r="R25" s="52">
        <v>10.54</v>
      </c>
      <c r="S25" s="52">
        <v>11.28</v>
      </c>
      <c r="T25" s="52">
        <v>10.54</v>
      </c>
      <c r="U25" s="52">
        <v>9.82</v>
      </c>
      <c r="V25" s="52">
        <v>11.19</v>
      </c>
      <c r="W25" s="52">
        <v>7.97</v>
      </c>
      <c r="X25" s="52">
        <v>10.68</v>
      </c>
      <c r="Y25" s="189">
        <v>10.24</v>
      </c>
      <c r="Z25" s="189">
        <v>9.14</v>
      </c>
      <c r="AA25" s="52">
        <v>10.24</v>
      </c>
      <c r="AB25" s="189">
        <v>9.82</v>
      </c>
      <c r="AC25" s="52">
        <v>10.199999999999999</v>
      </c>
      <c r="AD25" s="189">
        <v>7.5209999999999999</v>
      </c>
      <c r="AE25" s="189">
        <v>8.9689999999999994</v>
      </c>
      <c r="AF25" s="189">
        <v>10.587</v>
      </c>
      <c r="AG25" s="197"/>
      <c r="AH25" t="str">
        <f>X4</f>
        <v>SFB 3 roli</v>
      </c>
    </row>
    <row r="26" spans="1:34">
      <c r="A26" s="174">
        <v>21</v>
      </c>
      <c r="B26" s="174" t="s">
        <v>87</v>
      </c>
      <c r="C26" s="52">
        <v>12.4</v>
      </c>
      <c r="D26" s="52">
        <v>11.66</v>
      </c>
      <c r="E26" s="52">
        <v>10.6</v>
      </c>
      <c r="F26" s="52">
        <v>9.5399999999999991</v>
      </c>
      <c r="G26" s="52">
        <v>9.1</v>
      </c>
      <c r="H26" s="182">
        <v>10.1</v>
      </c>
      <c r="I26" s="183">
        <v>11</v>
      </c>
      <c r="J26" s="182">
        <v>9.2100000000000009</v>
      </c>
      <c r="K26" s="52">
        <v>8.16</v>
      </c>
      <c r="L26" s="52">
        <v>10.14</v>
      </c>
      <c r="M26" s="52">
        <v>10.199999999999999</v>
      </c>
      <c r="N26" s="52">
        <v>10.6</v>
      </c>
      <c r="O26" s="52"/>
      <c r="P26" s="52">
        <v>11.37</v>
      </c>
      <c r="Q26" s="52"/>
      <c r="R26" s="52">
        <v>11.38</v>
      </c>
      <c r="S26" s="52">
        <v>12.12</v>
      </c>
      <c r="T26" s="52">
        <v>11.38</v>
      </c>
      <c r="U26" s="52">
        <v>10.74</v>
      </c>
      <c r="V26" s="52">
        <v>12.09</v>
      </c>
      <c r="W26" s="52">
        <v>8.65</v>
      </c>
      <c r="X26" s="52">
        <v>11.59</v>
      </c>
      <c r="Y26" s="189">
        <v>10.95</v>
      </c>
      <c r="Z26" s="189">
        <v>9.7799999999999994</v>
      </c>
      <c r="AA26" s="52">
        <v>10.95</v>
      </c>
      <c r="AB26" s="189"/>
      <c r="AC26" s="52">
        <v>11.2</v>
      </c>
      <c r="AD26" s="189">
        <v>8.1769999999999996</v>
      </c>
      <c r="AE26" s="189">
        <v>9.7460000000000004</v>
      </c>
      <c r="AF26" s="189">
        <v>11.509</v>
      </c>
      <c r="AG26" s="197"/>
      <c r="AH26" t="str">
        <f>Y4</f>
        <v>Frauenkappelen - Mühleberg NdH</v>
      </c>
    </row>
    <row r="27" spans="1:34">
      <c r="A27" s="174">
        <v>22</v>
      </c>
      <c r="B27" s="174" t="s">
        <v>88</v>
      </c>
      <c r="C27" s="52">
        <v>13.5</v>
      </c>
      <c r="D27" s="52">
        <v>12.54</v>
      </c>
      <c r="E27" s="52">
        <v>11.4</v>
      </c>
      <c r="F27" s="52">
        <v>10.26</v>
      </c>
      <c r="G27" s="52"/>
      <c r="H27" s="182">
        <v>10.6</v>
      </c>
      <c r="I27" s="183">
        <v>11.9</v>
      </c>
      <c r="J27" s="182">
        <v>9.99</v>
      </c>
      <c r="K27" s="52"/>
      <c r="L27" s="52"/>
      <c r="M27" s="52"/>
      <c r="N27" s="52"/>
      <c r="O27" s="52"/>
      <c r="P27" s="52">
        <v>12.3</v>
      </c>
      <c r="Q27" s="52"/>
      <c r="R27" s="52"/>
      <c r="S27" s="52"/>
      <c r="T27" s="52"/>
      <c r="U27" s="52"/>
      <c r="V27" s="52">
        <v>13.01</v>
      </c>
      <c r="W27" s="52">
        <v>9.36</v>
      </c>
      <c r="X27" s="52">
        <v>12.52</v>
      </c>
      <c r="Y27" s="189">
        <v>11.66</v>
      </c>
      <c r="Z27" s="189">
        <v>10.42</v>
      </c>
      <c r="AA27" s="52">
        <v>11.66</v>
      </c>
      <c r="AB27" s="189"/>
      <c r="AC27" s="52">
        <v>12.4</v>
      </c>
      <c r="AD27" s="189">
        <v>8.859</v>
      </c>
      <c r="AE27" s="189">
        <v>10.553000000000001</v>
      </c>
      <c r="AF27" s="189">
        <v>12.467000000000001</v>
      </c>
      <c r="AG27" s="197"/>
      <c r="AH27" t="str">
        <f>Z4</f>
        <v>Frauenkappelen - Mühleberg LbH</v>
      </c>
    </row>
    <row r="28" spans="1:34">
      <c r="V28" s="192"/>
      <c r="W28" s="192"/>
      <c r="X28" s="192"/>
      <c r="Y28" s="193"/>
      <c r="AH28" t="str">
        <f>AA4</f>
        <v>Mühleberg NdH</v>
      </c>
    </row>
    <row r="29" spans="1:34">
      <c r="V29" s="193"/>
      <c r="W29" s="193"/>
      <c r="X29" s="193"/>
      <c r="Y29" s="193"/>
      <c r="AH29" t="str">
        <f>AB4</f>
        <v>Seedorf</v>
      </c>
    </row>
    <row r="30" spans="1:34">
      <c r="AH30" t="str">
        <f>AC4</f>
        <v>Burgdorf Süd</v>
      </c>
    </row>
    <row r="31" spans="1:34">
      <c r="AH31" t="str">
        <f>AD4</f>
        <v>Tarif faible No. 1</v>
      </c>
    </row>
    <row r="32" spans="1:34">
      <c r="AH32" t="str">
        <f>AE4</f>
        <v>Tarif moyen No. 2</v>
      </c>
    </row>
    <row r="33" spans="34:34">
      <c r="AH33" t="str">
        <f>AF4</f>
        <v>Tarif fort No. 3</v>
      </c>
    </row>
    <row r="34" spans="34:34">
      <c r="AH34" t="str">
        <f>AG4</f>
        <v>neuer Tarif</v>
      </c>
    </row>
  </sheetData>
  <sheetProtection sheet="1" objects="1" scenarios="1" selectLockedCells="1"/>
  <conditionalFormatting sqref="V5:X5">
    <cfRule type="colorScale" priority="1">
      <colorScale>
        <cfvo type="min"/>
        <cfvo type="percentile" val="50"/>
        <cfvo type="max"/>
        <color rgb="FFF8696B"/>
        <color rgb="FFFCFCFF"/>
        <color rgb="FF63BE7B"/>
      </colorScale>
    </cfRule>
  </conditionalFormatting>
  <pageMargins left="0.78740157499999996" right="0.78740157499999996" top="0.984251969" bottom="0.984251969" header="0.4921259845" footer="0.4921259845"/>
  <pageSetup paperSize="9" orientation="landscape" r:id="rId1"/>
  <headerFooter alignWithMargins="0">
    <oddFooter>&amp;L&amp;8&amp;F / &amp;A /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8" tint="0.79998168889431442"/>
    <pageSetUpPr fitToPage="1"/>
  </sheetPr>
  <dimension ref="A2:B8"/>
  <sheetViews>
    <sheetView zoomScale="70" zoomScaleNormal="70" workbookViewId="0">
      <selection activeCell="B4" sqref="B4"/>
    </sheetView>
  </sheetViews>
  <sheetFormatPr baseColWidth="10" defaultRowHeight="14.25"/>
  <cols>
    <col min="1" max="1" width="38.28515625" style="84" bestFit="1" customWidth="1"/>
    <col min="2" max="2" width="85.85546875" style="84" bestFit="1" customWidth="1"/>
    <col min="3" max="16384" width="11.42578125" style="84"/>
  </cols>
  <sheetData>
    <row r="2" spans="1:2" ht="60.75" customHeight="1">
      <c r="A2" s="645" t="s">
        <v>313</v>
      </c>
      <c r="B2" s="645"/>
    </row>
    <row r="3" spans="1:2" ht="20.25">
      <c r="A3" s="202"/>
      <c r="B3" s="202"/>
    </row>
    <row r="4" spans="1:2" ht="20.25">
      <c r="A4" s="203" t="s">
        <v>314</v>
      </c>
      <c r="B4" s="203" t="s">
        <v>311</v>
      </c>
    </row>
    <row r="5" spans="1:2" ht="20.25">
      <c r="A5" s="202"/>
      <c r="B5" s="202"/>
    </row>
    <row r="6" spans="1:2" ht="20.25">
      <c r="A6" s="203" t="s">
        <v>315</v>
      </c>
      <c r="B6" s="203" t="s">
        <v>310</v>
      </c>
    </row>
    <row r="7" spans="1:2" ht="20.25">
      <c r="A7" s="202"/>
      <c r="B7" s="202"/>
    </row>
    <row r="8" spans="1:2" ht="20.25">
      <c r="A8" s="203" t="s">
        <v>316</v>
      </c>
      <c r="B8" s="203" t="s">
        <v>312</v>
      </c>
    </row>
  </sheetData>
  <sheetProtection sheet="1" objects="1" selectLockedCells="1"/>
  <mergeCells count="1">
    <mergeCell ref="A2:B2"/>
  </mergeCells>
  <hyperlinks>
    <hyperlink ref="B6" r:id="rId1"/>
    <hyperlink ref="B4" r:id="rId2"/>
    <hyperlink ref="B8" r:id="rId3"/>
    <hyperlink ref="A4" r:id="rId4"/>
    <hyperlink ref="A6" r:id="rId5"/>
    <hyperlink ref="A8" r:id="rId6"/>
  </hyperlinks>
  <pageMargins left="0.78740157480314965" right="0.78740157480314965" top="0.78740157480314965" bottom="0.59055118110236227" header="0.11811023622047245" footer="0.19685039370078741"/>
  <pageSetup paperSize="9" scale="70" orientation="portrait" r:id="rId7"/>
  <headerFooter alignWithMargins="0">
    <oddFooter>&amp;L&amp;F / &amp;A / &amp;D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8" tint="0.79998168889431442"/>
  </sheetPr>
  <dimension ref="A1:L52"/>
  <sheetViews>
    <sheetView topLeftCell="B1" zoomScaleNormal="100" workbookViewId="0">
      <selection activeCell="L19" sqref="L19"/>
    </sheetView>
  </sheetViews>
  <sheetFormatPr baseColWidth="10" defaultRowHeight="12.75"/>
  <cols>
    <col min="1" max="1" width="46.28515625" bestFit="1" customWidth="1"/>
    <col min="2" max="5" width="36" customWidth="1"/>
    <col min="6" max="8" width="11.42578125" hidden="1" customWidth="1"/>
    <col min="9" max="9" width="20.140625" hidden="1" customWidth="1"/>
    <col min="10" max="10" width="11.42578125" hidden="1" customWidth="1"/>
    <col min="11" max="11" width="20.5703125" hidden="1" customWidth="1"/>
    <col min="12" max="12" width="11.42578125" customWidth="1"/>
  </cols>
  <sheetData>
    <row r="1" spans="1:11">
      <c r="A1" s="209" t="s">
        <v>319</v>
      </c>
      <c r="B1" s="646" t="s">
        <v>350</v>
      </c>
      <c r="C1" s="646"/>
      <c r="D1" s="646"/>
      <c r="E1" s="210" t="s">
        <v>1047</v>
      </c>
    </row>
    <row r="2" spans="1:11" ht="5.25" customHeight="1">
      <c r="A2" s="209"/>
      <c r="B2" s="646"/>
      <c r="C2" s="646"/>
      <c r="D2" s="646"/>
      <c r="E2" s="210"/>
    </row>
    <row r="3" spans="1:11" s="9" customFormat="1">
      <c r="A3" s="647" t="str">
        <f>CONCATENATE("Waldabteilung ",'4_Anzeichnungsprotokoll'!D4," ","Revier ",'4_Anzeichnungsprotokoll'!D8," ",'4_Anzeichnungsprotokoll'!H8," Gemeinde ",'4_Anzeichnungsprotokoll'!P8," Lokalname ",'4_Anzeichnungsprotokoll'!D23)</f>
        <v xml:space="preserve">Waldabteilung  Revier   Gemeinde  Lokalname </v>
      </c>
      <c r="B3" s="648"/>
      <c r="C3" s="648"/>
      <c r="D3" s="649"/>
      <c r="E3" s="228" t="s">
        <v>412</v>
      </c>
    </row>
    <row r="4" spans="1:11" s="211" customFormat="1" ht="5.25" customHeight="1">
      <c r="A4" s="209"/>
      <c r="B4" s="646"/>
      <c r="C4" s="646"/>
      <c r="D4" s="646"/>
      <c r="E4" s="210"/>
    </row>
    <row r="5" spans="1:11">
      <c r="A5" s="671" t="s">
        <v>411</v>
      </c>
      <c r="B5" s="204" t="s">
        <v>320</v>
      </c>
      <c r="C5" s="205" t="s">
        <v>321</v>
      </c>
      <c r="D5" s="205" t="s">
        <v>322</v>
      </c>
      <c r="E5" s="206" t="s">
        <v>323</v>
      </c>
    </row>
    <row r="6" spans="1:11">
      <c r="A6" s="672"/>
      <c r="B6" s="212" t="s">
        <v>324</v>
      </c>
      <c r="C6" s="213" t="s">
        <v>328</v>
      </c>
      <c r="D6" s="213" t="s">
        <v>332</v>
      </c>
      <c r="E6" s="213" t="s">
        <v>336</v>
      </c>
    </row>
    <row r="7" spans="1:11">
      <c r="A7" s="672"/>
      <c r="B7" s="214" t="s">
        <v>325</v>
      </c>
      <c r="C7" s="215" t="s">
        <v>329</v>
      </c>
      <c r="D7" s="215" t="s">
        <v>333</v>
      </c>
      <c r="E7" s="215" t="s">
        <v>337</v>
      </c>
    </row>
    <row r="8" spans="1:11">
      <c r="A8" s="672"/>
      <c r="B8" s="214" t="s">
        <v>1032</v>
      </c>
      <c r="C8" s="215" t="s">
        <v>330</v>
      </c>
      <c r="D8" s="215" t="s">
        <v>334</v>
      </c>
      <c r="E8" s="215" t="s">
        <v>338</v>
      </c>
    </row>
    <row r="9" spans="1:11">
      <c r="A9" s="672"/>
      <c r="B9" s="214" t="s">
        <v>327</v>
      </c>
      <c r="C9" s="215" t="s">
        <v>331</v>
      </c>
      <c r="D9" s="215" t="s">
        <v>335</v>
      </c>
      <c r="E9" s="215" t="s">
        <v>1034</v>
      </c>
    </row>
    <row r="10" spans="1:11">
      <c r="A10" s="672"/>
      <c r="B10" s="214"/>
      <c r="C10" s="215" t="s">
        <v>1033</v>
      </c>
      <c r="D10" s="215"/>
      <c r="E10" s="215" t="s">
        <v>339</v>
      </c>
    </row>
    <row r="11" spans="1:11">
      <c r="A11" s="672"/>
      <c r="B11" s="216"/>
      <c r="C11" s="217"/>
      <c r="D11" s="217"/>
      <c r="E11" s="217" t="s">
        <v>335</v>
      </c>
    </row>
    <row r="12" spans="1:11">
      <c r="A12" s="672"/>
      <c r="B12" s="674" t="s">
        <v>340</v>
      </c>
      <c r="C12" s="218" t="s">
        <v>341</v>
      </c>
      <c r="D12" s="657" t="s">
        <v>343</v>
      </c>
      <c r="E12" s="659"/>
    </row>
    <row r="13" spans="1:11">
      <c r="A13" s="672"/>
      <c r="B13" s="675"/>
      <c r="C13" s="219" t="s">
        <v>342</v>
      </c>
      <c r="D13" s="660" t="s">
        <v>344</v>
      </c>
      <c r="E13" s="662"/>
    </row>
    <row r="14" spans="1:11" ht="15" customHeight="1">
      <c r="A14" s="673"/>
      <c r="B14" s="205" t="s">
        <v>345</v>
      </c>
      <c r="C14" s="205" t="s">
        <v>346</v>
      </c>
      <c r="D14" s="205" t="s">
        <v>347</v>
      </c>
      <c r="E14" s="205" t="s">
        <v>348</v>
      </c>
      <c r="G14" s="7"/>
      <c r="H14" s="7"/>
      <c r="I14" s="7"/>
      <c r="J14" s="7"/>
      <c r="K14" s="7"/>
    </row>
    <row r="15" spans="1:11">
      <c r="A15" s="207" t="s">
        <v>349</v>
      </c>
      <c r="B15" s="665" t="str">
        <f>J15</f>
        <v>2'000.-- CHF/ha (A0)</v>
      </c>
      <c r="C15" s="665" t="str">
        <f>J16</f>
        <v>4'000.-- CHF/ha (B0)
(*7'800.-- CHF/ha Pflanzungen)</v>
      </c>
      <c r="D15" s="665" t="str">
        <f>J17</f>
        <v>10'000.-- CHF/ha (C0)</v>
      </c>
      <c r="E15" s="665" t="str">
        <f>J18</f>
        <v>15'000.-- CHF/ha (D0)</v>
      </c>
      <c r="G15" s="224" t="b">
        <v>0</v>
      </c>
      <c r="H15" s="224" t="str">
        <f>IF(G15=TRUE," ","")</f>
        <v/>
      </c>
      <c r="I15" s="225" t="s">
        <v>392</v>
      </c>
      <c r="J15" s="224" t="str">
        <f>CONCATENATE(I15,H15)</f>
        <v>2'000.-- CHF/ha (A0)</v>
      </c>
      <c r="K15" s="225" t="s">
        <v>393</v>
      </c>
    </row>
    <row r="16" spans="1:11" ht="12.75" customHeight="1">
      <c r="A16" s="220" t="s">
        <v>351</v>
      </c>
      <c r="B16" s="666"/>
      <c r="C16" s="666"/>
      <c r="D16" s="666"/>
      <c r="E16" s="666"/>
      <c r="G16" s="224" t="b">
        <v>0</v>
      </c>
      <c r="H16" s="224" t="str">
        <f>IF(G16=TRUE," ","")</f>
        <v/>
      </c>
      <c r="I16" s="489" t="s">
        <v>1039</v>
      </c>
      <c r="J16" s="224" t="str">
        <f>CONCATENATE(I16,H16)</f>
        <v>4'000.-- CHF/ha (B0)
(*7'800.-- CHF/ha Pflanzungen)</v>
      </c>
      <c r="K16" s="489" t="s">
        <v>1040</v>
      </c>
    </row>
    <row r="17" spans="1:12" ht="27" customHeight="1">
      <c r="A17" s="220" t="s">
        <v>352</v>
      </c>
      <c r="B17" s="666"/>
      <c r="C17" s="666"/>
      <c r="D17" s="666"/>
      <c r="E17" s="666"/>
      <c r="G17" s="224" t="b">
        <v>0</v>
      </c>
      <c r="H17" s="224" t="str">
        <f>IF(G17=TRUE," ","")</f>
        <v/>
      </c>
      <c r="I17" s="225" t="s">
        <v>394</v>
      </c>
      <c r="J17" s="224" t="str">
        <f>CONCATENATE(I17,H17)</f>
        <v>10'000.-- CHF/ha (C0)</v>
      </c>
      <c r="K17" s="225" t="s">
        <v>396</v>
      </c>
    </row>
    <row r="18" spans="1:12">
      <c r="A18" s="220" t="s">
        <v>353</v>
      </c>
      <c r="B18" s="666"/>
      <c r="C18" s="666"/>
      <c r="D18" s="666"/>
      <c r="E18" s="666"/>
      <c r="G18" s="224" t="b">
        <v>0</v>
      </c>
      <c r="H18" s="224" t="str">
        <f>IF(G18=TRUE," ","")</f>
        <v/>
      </c>
      <c r="I18" s="225" t="s">
        <v>395</v>
      </c>
      <c r="J18" s="224" t="str">
        <f>CONCATENATE(I18,H18)</f>
        <v>15'000.-- CHF/ha (D0)</v>
      </c>
      <c r="K18" s="225" t="s">
        <v>397</v>
      </c>
    </row>
    <row r="19" spans="1:12">
      <c r="A19" s="220" t="s">
        <v>354</v>
      </c>
      <c r="B19" s="666"/>
      <c r="C19" s="666"/>
      <c r="D19" s="666"/>
      <c r="E19" s="666"/>
      <c r="G19" s="224"/>
      <c r="H19" s="224"/>
      <c r="I19" s="224"/>
      <c r="J19" s="224"/>
      <c r="K19" s="224"/>
      <c r="L19" s="224"/>
    </row>
    <row r="20" spans="1:12">
      <c r="A20" s="220" t="s">
        <v>355</v>
      </c>
      <c r="B20" s="666"/>
      <c r="C20" s="666"/>
      <c r="D20" s="666"/>
      <c r="E20" s="666"/>
      <c r="G20" s="224"/>
      <c r="H20" s="224"/>
      <c r="I20" s="224"/>
      <c r="J20" s="224"/>
      <c r="K20" s="224"/>
      <c r="L20" s="224"/>
    </row>
    <row r="21" spans="1:12">
      <c r="A21" s="221" t="s">
        <v>356</v>
      </c>
      <c r="B21" s="666"/>
      <c r="C21" s="666"/>
      <c r="D21" s="666"/>
      <c r="E21" s="666"/>
      <c r="G21" s="224"/>
      <c r="H21" s="224"/>
      <c r="I21" s="224"/>
      <c r="J21" s="224"/>
      <c r="K21" s="224"/>
      <c r="L21" s="224"/>
    </row>
    <row r="22" spans="1:12">
      <c r="A22" s="207" t="s">
        <v>357</v>
      </c>
      <c r="B22" s="665" t="str">
        <f>J22</f>
        <v>2'200.-- CHF/ha (A10)</v>
      </c>
      <c r="C22" s="665" t="str">
        <f>J23</f>
        <v>4'400.-- CHF/ha (B10)
(*7'800.-- CHF/ha Pflanzungen)</v>
      </c>
      <c r="D22" s="665" t="str">
        <f>J24</f>
        <v>11'000.-- CHF/ha (C10)</v>
      </c>
      <c r="E22" s="665" t="str">
        <f>J25</f>
        <v>16'500.-- CHF/ha (D10)</v>
      </c>
      <c r="G22" s="224" t="b">
        <v>0</v>
      </c>
      <c r="H22" s="224" t="str">
        <f>IF(G22=TRUE," ","")</f>
        <v/>
      </c>
      <c r="I22" s="225" t="s">
        <v>398</v>
      </c>
      <c r="J22" s="224" t="str">
        <f>CONCATENATE(I22,H22)</f>
        <v>2'200.-- CHF/ha (A10)</v>
      </c>
      <c r="K22" s="225" t="s">
        <v>399</v>
      </c>
    </row>
    <row r="23" spans="1:12" ht="27" customHeight="1">
      <c r="A23" s="220" t="s">
        <v>358</v>
      </c>
      <c r="B23" s="666"/>
      <c r="C23" s="666"/>
      <c r="D23" s="666"/>
      <c r="E23" s="666"/>
      <c r="G23" s="224" t="b">
        <v>0</v>
      </c>
      <c r="H23" s="224" t="str">
        <f t="shared" ref="H23:H29" si="0">IF(G23=TRUE," ","")</f>
        <v/>
      </c>
      <c r="I23" s="489" t="s">
        <v>1041</v>
      </c>
      <c r="J23" s="224" t="str">
        <f t="shared" ref="J23:J29" si="1">CONCATENATE(I23,H23)</f>
        <v>4'400.-- CHF/ha (B10)
(*7'800.-- CHF/ha Pflanzungen)</v>
      </c>
      <c r="K23" s="489" t="s">
        <v>1042</v>
      </c>
    </row>
    <row r="24" spans="1:12">
      <c r="A24" s="220" t="s">
        <v>359</v>
      </c>
      <c r="B24" s="666"/>
      <c r="C24" s="666"/>
      <c r="D24" s="666"/>
      <c r="E24" s="666"/>
      <c r="G24" s="224" t="b">
        <v>0</v>
      </c>
      <c r="H24" s="224" t="str">
        <f t="shared" si="0"/>
        <v/>
      </c>
      <c r="I24" s="225" t="s">
        <v>400</v>
      </c>
      <c r="J24" s="224" t="str">
        <f t="shared" si="1"/>
        <v>11'000.-- CHF/ha (C10)</v>
      </c>
      <c r="K24" s="225" t="s">
        <v>401</v>
      </c>
    </row>
    <row r="25" spans="1:12">
      <c r="A25" s="220" t="s">
        <v>360</v>
      </c>
      <c r="B25" s="666"/>
      <c r="C25" s="666"/>
      <c r="D25" s="666"/>
      <c r="E25" s="666"/>
      <c r="G25" s="224" t="b">
        <v>0</v>
      </c>
      <c r="H25" s="224" t="str">
        <f t="shared" si="0"/>
        <v/>
      </c>
      <c r="I25" s="225" t="s">
        <v>402</v>
      </c>
      <c r="J25" s="224" t="str">
        <f t="shared" si="1"/>
        <v>16'500.-- CHF/ha (D10)</v>
      </c>
      <c r="K25" s="225" t="s">
        <v>403</v>
      </c>
    </row>
    <row r="26" spans="1:12">
      <c r="A26" s="221" t="s">
        <v>361</v>
      </c>
      <c r="B26" s="666"/>
      <c r="C26" s="666"/>
      <c r="D26" s="666"/>
      <c r="E26" s="666"/>
      <c r="G26" s="224" t="b">
        <v>0</v>
      </c>
      <c r="H26" s="224" t="str">
        <f t="shared" si="0"/>
        <v/>
      </c>
      <c r="I26" s="225" t="s">
        <v>404</v>
      </c>
      <c r="J26" s="224" t="str">
        <f t="shared" si="1"/>
        <v>2'400.-- CHF/ha (A20)</v>
      </c>
      <c r="K26" s="225" t="s">
        <v>405</v>
      </c>
    </row>
    <row r="27" spans="1:12" ht="38.25">
      <c r="A27" s="207" t="s">
        <v>362</v>
      </c>
      <c r="B27" s="665" t="str">
        <f>J26</f>
        <v>2'400.-- CHF/ha (A20)</v>
      </c>
      <c r="C27" s="665" t="str">
        <f>J27</f>
        <v>4'800.-- CHF/ha (B20)
(*7'800.-- CHF/ha Pflanzungen)</v>
      </c>
      <c r="D27" s="665" t="str">
        <f>J28</f>
        <v>12'000.-- CHF/ha (C20)</v>
      </c>
      <c r="E27" s="665" t="str">
        <f>J29</f>
        <v>18'000.-- CHF/ha (D20)</v>
      </c>
      <c r="G27" s="224" t="b">
        <v>0</v>
      </c>
      <c r="H27" s="224" t="str">
        <f t="shared" si="0"/>
        <v/>
      </c>
      <c r="I27" s="489" t="s">
        <v>1043</v>
      </c>
      <c r="J27" s="224" t="str">
        <f t="shared" si="1"/>
        <v>4'800.-- CHF/ha (B20)
(*7'800.-- CHF/ha Pflanzungen)</v>
      </c>
      <c r="K27" s="489" t="s">
        <v>1044</v>
      </c>
    </row>
    <row r="28" spans="1:12">
      <c r="A28" s="220" t="s">
        <v>363</v>
      </c>
      <c r="B28" s="666"/>
      <c r="C28" s="666"/>
      <c r="D28" s="666"/>
      <c r="E28" s="666"/>
      <c r="G28" s="224" t="b">
        <v>0</v>
      </c>
      <c r="H28" s="224" t="str">
        <f t="shared" si="0"/>
        <v/>
      </c>
      <c r="I28" s="225" t="s">
        <v>406</v>
      </c>
      <c r="J28" s="224" t="str">
        <f t="shared" si="1"/>
        <v>12'000.-- CHF/ha (C20)</v>
      </c>
      <c r="K28" s="225" t="s">
        <v>408</v>
      </c>
    </row>
    <row r="29" spans="1:12">
      <c r="A29" s="221" t="s">
        <v>364</v>
      </c>
      <c r="B29" s="666"/>
      <c r="C29" s="666"/>
      <c r="D29" s="666"/>
      <c r="E29" s="666"/>
      <c r="G29" s="224" t="b">
        <v>0</v>
      </c>
      <c r="H29" s="224" t="str">
        <f t="shared" si="0"/>
        <v/>
      </c>
      <c r="I29" s="225" t="s">
        <v>407</v>
      </c>
      <c r="J29" s="224" t="str">
        <f t="shared" si="1"/>
        <v>18'000.-- CHF/ha (D20)</v>
      </c>
      <c r="K29" s="225" t="s">
        <v>409</v>
      </c>
    </row>
    <row r="30" spans="1:12" ht="30.75" customHeight="1">
      <c r="A30" s="226" t="s">
        <v>365</v>
      </c>
    </row>
    <row r="31" spans="1:12" s="208" customFormat="1" ht="11.25">
      <c r="A31" s="227" t="s">
        <v>366</v>
      </c>
      <c r="B31" s="227" t="s">
        <v>367</v>
      </c>
      <c r="C31" s="227" t="s">
        <v>367</v>
      </c>
      <c r="D31" s="656" t="s">
        <v>1011</v>
      </c>
      <c r="E31" s="656"/>
    </row>
    <row r="32" spans="1:12" s="208" customFormat="1" ht="11.25">
      <c r="A32" s="222" t="s">
        <v>368</v>
      </c>
      <c r="B32" s="655" t="s">
        <v>1010</v>
      </c>
      <c r="C32" s="655"/>
      <c r="D32" s="655"/>
      <c r="E32" s="655"/>
    </row>
    <row r="33" spans="1:5" s="208" customFormat="1" ht="11.25">
      <c r="A33" s="652" t="s">
        <v>369</v>
      </c>
      <c r="B33" s="652" t="s">
        <v>367</v>
      </c>
      <c r="C33" s="652" t="s">
        <v>367</v>
      </c>
      <c r="D33" s="669" t="s">
        <v>370</v>
      </c>
      <c r="E33" s="670"/>
    </row>
    <row r="34" spans="1:5" s="208" customFormat="1" ht="11.25">
      <c r="A34" s="653"/>
      <c r="B34" s="653"/>
      <c r="C34" s="653"/>
      <c r="D34" s="667" t="s">
        <v>1012</v>
      </c>
      <c r="E34" s="668"/>
    </row>
    <row r="35" spans="1:5" s="208" customFormat="1" ht="11.25">
      <c r="A35" s="653"/>
      <c r="B35" s="653"/>
      <c r="C35" s="653"/>
      <c r="D35" s="667" t="s">
        <v>1013</v>
      </c>
      <c r="E35" s="668"/>
    </row>
    <row r="36" spans="1:5" s="208" customFormat="1" ht="11.25">
      <c r="A36" s="654"/>
      <c r="B36" s="654"/>
      <c r="C36" s="654"/>
      <c r="D36" s="663" t="s">
        <v>371</v>
      </c>
      <c r="E36" s="664"/>
    </row>
    <row r="37" spans="1:5" s="208" customFormat="1" ht="11.25">
      <c r="A37" s="650" t="s">
        <v>372</v>
      </c>
      <c r="B37" s="657" t="s">
        <v>373</v>
      </c>
      <c r="C37" s="658"/>
      <c r="D37" s="658"/>
      <c r="E37" s="659"/>
    </row>
    <row r="38" spans="1:5" s="208" customFormat="1" ht="11.25">
      <c r="A38" s="651"/>
      <c r="B38" s="660" t="s">
        <v>374</v>
      </c>
      <c r="C38" s="661"/>
      <c r="D38" s="661"/>
      <c r="E38" s="662"/>
    </row>
    <row r="39" spans="1:5" s="208" customFormat="1" ht="11.25">
      <c r="A39" s="223" t="s">
        <v>410</v>
      </c>
      <c r="B39" s="692" t="s">
        <v>367</v>
      </c>
      <c r="C39" s="650" t="s">
        <v>367</v>
      </c>
      <c r="D39" s="696" t="s">
        <v>389</v>
      </c>
      <c r="E39" s="697"/>
    </row>
    <row r="40" spans="1:5" s="208" customFormat="1" ht="11.25">
      <c r="A40" s="220" t="s">
        <v>375</v>
      </c>
      <c r="B40" s="693"/>
      <c r="C40" s="695"/>
      <c r="D40" s="698" t="s">
        <v>390</v>
      </c>
      <c r="E40" s="699"/>
    </row>
    <row r="41" spans="1:5" s="208" customFormat="1" ht="11.25">
      <c r="A41" s="221"/>
      <c r="B41" s="694"/>
      <c r="C41" s="651"/>
      <c r="D41" s="700" t="s">
        <v>391</v>
      </c>
      <c r="E41" s="701"/>
    </row>
    <row r="42" spans="1:5" s="208" customFormat="1" ht="11.25">
      <c r="A42" s="222" t="s">
        <v>376</v>
      </c>
      <c r="B42" s="689" t="s">
        <v>382</v>
      </c>
      <c r="C42" s="690"/>
      <c r="D42" s="690"/>
      <c r="E42" s="691"/>
    </row>
    <row r="43" spans="1:5" s="208" customFormat="1" ht="11.25"/>
    <row r="44" spans="1:5" s="208" customFormat="1" ht="11.25">
      <c r="A44" s="223" t="s">
        <v>377</v>
      </c>
      <c r="B44" s="686" t="s">
        <v>383</v>
      </c>
      <c r="C44" s="687"/>
      <c r="D44" s="687"/>
      <c r="E44" s="688"/>
    </row>
    <row r="45" spans="1:5" s="208" customFormat="1" ht="11.25">
      <c r="A45" s="221" t="s">
        <v>378</v>
      </c>
      <c r="B45" s="679" t="s">
        <v>384</v>
      </c>
      <c r="C45" s="680"/>
      <c r="D45" s="680"/>
      <c r="E45" s="681"/>
    </row>
    <row r="46" spans="1:5" s="208" customFormat="1" ht="11.25">
      <c r="A46" s="213" t="s">
        <v>379</v>
      </c>
      <c r="B46" s="682" t="s">
        <v>385</v>
      </c>
      <c r="C46" s="683"/>
      <c r="D46" s="683"/>
      <c r="E46" s="683"/>
    </row>
    <row r="47" spans="1:5" s="208" customFormat="1" ht="11.25">
      <c r="A47" s="217" t="s">
        <v>380</v>
      </c>
      <c r="B47" s="684"/>
      <c r="C47" s="685"/>
      <c r="D47" s="685"/>
      <c r="E47" s="685"/>
    </row>
    <row r="48" spans="1:5" s="208" customFormat="1" ht="11.25">
      <c r="A48" s="652" t="s">
        <v>381</v>
      </c>
      <c r="B48" s="676" t="s">
        <v>386</v>
      </c>
      <c r="C48" s="677"/>
      <c r="D48" s="677"/>
      <c r="E48" s="678"/>
    </row>
    <row r="49" spans="1:5" s="208" customFormat="1" ht="11.25">
      <c r="A49" s="654"/>
      <c r="B49" s="679" t="s">
        <v>387</v>
      </c>
      <c r="C49" s="680"/>
      <c r="D49" s="680"/>
      <c r="E49" s="681"/>
    </row>
    <row r="50" spans="1:5" s="208" customFormat="1" ht="11.25">
      <c r="A50" s="208" t="s">
        <v>388</v>
      </c>
    </row>
    <row r="51" spans="1:5" s="208" customFormat="1" ht="11.25">
      <c r="A51" s="208" t="s">
        <v>1035</v>
      </c>
    </row>
    <row r="52" spans="1:5">
      <c r="A52" s="208" t="s">
        <v>1031</v>
      </c>
    </row>
  </sheetData>
  <sheetProtection sheet="1" objects="1" selectLockedCells="1"/>
  <mergeCells count="44">
    <mergeCell ref="B42:E42"/>
    <mergeCell ref="B39:B41"/>
    <mergeCell ref="C39:C41"/>
    <mergeCell ref="D39:E39"/>
    <mergeCell ref="D40:E40"/>
    <mergeCell ref="D41:E41"/>
    <mergeCell ref="A48:A49"/>
    <mergeCell ref="B48:E48"/>
    <mergeCell ref="B49:E49"/>
    <mergeCell ref="B46:E47"/>
    <mergeCell ref="B44:E44"/>
    <mergeCell ref="B45:E45"/>
    <mergeCell ref="D12:E12"/>
    <mergeCell ref="D13:E13"/>
    <mergeCell ref="A5:A14"/>
    <mergeCell ref="B4:D4"/>
    <mergeCell ref="B15:B21"/>
    <mergeCell ref="C15:C21"/>
    <mergeCell ref="D15:D21"/>
    <mergeCell ref="B12:B13"/>
    <mergeCell ref="D34:E34"/>
    <mergeCell ref="D33:E33"/>
    <mergeCell ref="B33:B36"/>
    <mergeCell ref="C33:C36"/>
    <mergeCell ref="E15:E21"/>
    <mergeCell ref="C27:C29"/>
    <mergeCell ref="D27:D29"/>
    <mergeCell ref="E27:E29"/>
    <mergeCell ref="B1:D1"/>
    <mergeCell ref="B2:D2"/>
    <mergeCell ref="A3:D3"/>
    <mergeCell ref="A37:A38"/>
    <mergeCell ref="A33:A36"/>
    <mergeCell ref="B32:E32"/>
    <mergeCell ref="D31:E31"/>
    <mergeCell ref="B37:E37"/>
    <mergeCell ref="B38:E38"/>
    <mergeCell ref="D36:E36"/>
    <mergeCell ref="B22:B26"/>
    <mergeCell ref="C22:C26"/>
    <mergeCell ref="D22:D26"/>
    <mergeCell ref="E22:E26"/>
    <mergeCell ref="B27:B29"/>
    <mergeCell ref="D35:E35"/>
  </mergeCells>
  <conditionalFormatting sqref="B15:B21">
    <cfRule type="cellIs" dxfId="18" priority="13" operator="between">
      <formula>"2'000.-- CHF/ha (A0)
(A0)"</formula>
      <formula>$K$15</formula>
    </cfRule>
  </conditionalFormatting>
  <conditionalFormatting sqref="E15:E21">
    <cfRule type="cellIs" dxfId="17" priority="12" operator="between">
      <formula>"15'000.-- CHF/ha (D0) "</formula>
      <formula>$K$18</formula>
    </cfRule>
  </conditionalFormatting>
  <conditionalFormatting sqref="C15:C21">
    <cfRule type="cellIs" dxfId="16" priority="11" operator="between">
      <formula>"4'000.-- CHF/ha (B0)(*7'800.-- CHF/ha Pflanzungen) "</formula>
      <formula>$K$16</formula>
    </cfRule>
  </conditionalFormatting>
  <conditionalFormatting sqref="D15:D21">
    <cfRule type="cellIs" dxfId="15" priority="10" operator="between">
      <formula>"10'000.-- CHF/ha (C0) "</formula>
      <formula>$K$17</formula>
    </cfRule>
  </conditionalFormatting>
  <conditionalFormatting sqref="B22:B26">
    <cfRule type="cellIs" dxfId="14" priority="8" operator="between">
      <formula>"2'200.-- CHF/ha (A10) "</formula>
      <formula>$K$22</formula>
    </cfRule>
  </conditionalFormatting>
  <conditionalFormatting sqref="C22:C26">
    <cfRule type="cellIs" dxfId="13" priority="7" operator="between">
      <formula>"4'400.-- CHF/ha (B10)(*7'800.-- CHF/ha Pflanzungen "</formula>
      <formula>$K$23</formula>
    </cfRule>
  </conditionalFormatting>
  <conditionalFormatting sqref="D22:D26">
    <cfRule type="cellIs" dxfId="12" priority="6" operator="between">
      <formula>"11'000.-- CHF/ha (C10) "</formula>
      <formula>$K$24</formula>
    </cfRule>
  </conditionalFormatting>
  <conditionalFormatting sqref="E22:E26">
    <cfRule type="cellIs" dxfId="11" priority="5" operator="between">
      <formula>"16'500.-- CHF/ha (D10) "</formula>
      <formula>$K$25</formula>
    </cfRule>
  </conditionalFormatting>
  <conditionalFormatting sqref="B27:B29">
    <cfRule type="cellIs" dxfId="10" priority="4" operator="between">
      <formula>"2'400.-- CHF/ha (A20) "</formula>
      <formula>$K$26</formula>
    </cfRule>
  </conditionalFormatting>
  <conditionalFormatting sqref="C27:C29">
    <cfRule type="cellIs" dxfId="9" priority="3" operator="between">
      <formula>"4'800.-- CHF/ha (B20)(*7'800.-- CHF/ha Pflanzungen) "</formula>
      <formula>$K$27</formula>
    </cfRule>
  </conditionalFormatting>
  <conditionalFormatting sqref="D27:D29">
    <cfRule type="cellIs" dxfId="8" priority="2" operator="between">
      <formula>"12'000.-- CHF/ha (C20) "</formula>
      <formula>$K$28</formula>
    </cfRule>
  </conditionalFormatting>
  <conditionalFormatting sqref="E27:E29">
    <cfRule type="cellIs" dxfId="7" priority="1" operator="between">
      <formula>"18'000.-- CHF/ha (D20) "</formula>
      <formula>$K$29</formula>
    </cfRule>
  </conditionalFormatting>
  <pageMargins left="0.70866141732283472" right="0.70866141732283472" top="0.78740157480314965" bottom="0.78740157480314965" header="0.31496062992125984" footer="0.31496062992125984"/>
  <pageSetup paperSize="9"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3" r:id="rId4" name="Check Box 3">
              <controlPr locked="0" defaultSize="0" autoFill="0" autoLine="0" autoPict="0">
                <anchor moveWithCells="1">
                  <from>
                    <xdr:col>1</xdr:col>
                    <xdr:colOff>361950</xdr:colOff>
                    <xdr:row>16</xdr:row>
                    <xdr:rowOff>152400</xdr:rowOff>
                  </from>
                  <to>
                    <xdr:col>1</xdr:col>
                    <xdr:colOff>628650</xdr:colOff>
                    <xdr:row>16</xdr:row>
                    <xdr:rowOff>323850</xdr:rowOff>
                  </to>
                </anchor>
              </controlPr>
            </control>
          </mc:Choice>
        </mc:AlternateContent>
        <mc:AlternateContent xmlns:mc="http://schemas.openxmlformats.org/markup-compatibility/2006">
          <mc:Choice Requires="x14">
            <control shapeId="76804" r:id="rId5" name="Check Box 4">
              <controlPr locked="0" defaultSize="0" autoFill="0" autoLine="0" autoPict="0">
                <anchor moveWithCells="1">
                  <from>
                    <xdr:col>2</xdr:col>
                    <xdr:colOff>361950</xdr:colOff>
                    <xdr:row>16</xdr:row>
                    <xdr:rowOff>152400</xdr:rowOff>
                  </from>
                  <to>
                    <xdr:col>2</xdr:col>
                    <xdr:colOff>628650</xdr:colOff>
                    <xdr:row>16</xdr:row>
                    <xdr:rowOff>323850</xdr:rowOff>
                  </to>
                </anchor>
              </controlPr>
            </control>
          </mc:Choice>
        </mc:AlternateContent>
        <mc:AlternateContent xmlns:mc="http://schemas.openxmlformats.org/markup-compatibility/2006">
          <mc:Choice Requires="x14">
            <control shapeId="76805" r:id="rId6" name="Check Box 5">
              <controlPr locked="0" defaultSize="0" autoFill="0" autoLine="0" autoPict="0">
                <anchor moveWithCells="1">
                  <from>
                    <xdr:col>3</xdr:col>
                    <xdr:colOff>323850</xdr:colOff>
                    <xdr:row>16</xdr:row>
                    <xdr:rowOff>152400</xdr:rowOff>
                  </from>
                  <to>
                    <xdr:col>3</xdr:col>
                    <xdr:colOff>590550</xdr:colOff>
                    <xdr:row>16</xdr:row>
                    <xdr:rowOff>323850</xdr:rowOff>
                  </to>
                </anchor>
              </controlPr>
            </control>
          </mc:Choice>
        </mc:AlternateContent>
        <mc:AlternateContent xmlns:mc="http://schemas.openxmlformats.org/markup-compatibility/2006">
          <mc:Choice Requires="x14">
            <control shapeId="76806" r:id="rId7" name="Check Box 6">
              <controlPr locked="0" defaultSize="0" autoFill="0" autoLine="0" autoPict="0">
                <anchor moveWithCells="1">
                  <from>
                    <xdr:col>4</xdr:col>
                    <xdr:colOff>333375</xdr:colOff>
                    <xdr:row>16</xdr:row>
                    <xdr:rowOff>152400</xdr:rowOff>
                  </from>
                  <to>
                    <xdr:col>4</xdr:col>
                    <xdr:colOff>600075</xdr:colOff>
                    <xdr:row>16</xdr:row>
                    <xdr:rowOff>323850</xdr:rowOff>
                  </to>
                </anchor>
              </controlPr>
            </control>
          </mc:Choice>
        </mc:AlternateContent>
        <mc:AlternateContent xmlns:mc="http://schemas.openxmlformats.org/markup-compatibility/2006">
          <mc:Choice Requires="x14">
            <control shapeId="76807" r:id="rId8" name="Check Box 7">
              <controlPr locked="0" defaultSize="0" autoFill="0" autoLine="0" autoPict="0">
                <anchor moveWithCells="1">
                  <from>
                    <xdr:col>4</xdr:col>
                    <xdr:colOff>304800</xdr:colOff>
                    <xdr:row>22</xdr:row>
                    <xdr:rowOff>152400</xdr:rowOff>
                  </from>
                  <to>
                    <xdr:col>4</xdr:col>
                    <xdr:colOff>571500</xdr:colOff>
                    <xdr:row>22</xdr:row>
                    <xdr:rowOff>323850</xdr:rowOff>
                  </to>
                </anchor>
              </controlPr>
            </control>
          </mc:Choice>
        </mc:AlternateContent>
        <mc:AlternateContent xmlns:mc="http://schemas.openxmlformats.org/markup-compatibility/2006">
          <mc:Choice Requires="x14">
            <control shapeId="76808" r:id="rId9" name="Check Box 8">
              <controlPr locked="0" defaultSize="0" autoFill="0" autoLine="0" autoPict="0">
                <anchor moveWithCells="1">
                  <from>
                    <xdr:col>3</xdr:col>
                    <xdr:colOff>295275</xdr:colOff>
                    <xdr:row>23</xdr:row>
                    <xdr:rowOff>0</xdr:rowOff>
                  </from>
                  <to>
                    <xdr:col>3</xdr:col>
                    <xdr:colOff>561975</xdr:colOff>
                    <xdr:row>24</xdr:row>
                    <xdr:rowOff>9525</xdr:rowOff>
                  </to>
                </anchor>
              </controlPr>
            </control>
          </mc:Choice>
        </mc:AlternateContent>
        <mc:AlternateContent xmlns:mc="http://schemas.openxmlformats.org/markup-compatibility/2006">
          <mc:Choice Requires="x14">
            <control shapeId="76809" r:id="rId10" name="Check Box 9">
              <controlPr locked="0" defaultSize="0" autoFill="0" autoLine="0" autoPict="0">
                <anchor moveWithCells="1">
                  <from>
                    <xdr:col>2</xdr:col>
                    <xdr:colOff>323850</xdr:colOff>
                    <xdr:row>22</xdr:row>
                    <xdr:rowOff>152400</xdr:rowOff>
                  </from>
                  <to>
                    <xdr:col>2</xdr:col>
                    <xdr:colOff>590550</xdr:colOff>
                    <xdr:row>22</xdr:row>
                    <xdr:rowOff>323850</xdr:rowOff>
                  </to>
                </anchor>
              </controlPr>
            </control>
          </mc:Choice>
        </mc:AlternateContent>
        <mc:AlternateContent xmlns:mc="http://schemas.openxmlformats.org/markup-compatibility/2006">
          <mc:Choice Requires="x14">
            <control shapeId="76810" r:id="rId11" name="Check Box 10">
              <controlPr locked="0" defaultSize="0" autoFill="0" autoLine="0" autoPict="0">
                <anchor moveWithCells="1">
                  <from>
                    <xdr:col>1</xdr:col>
                    <xdr:colOff>323850</xdr:colOff>
                    <xdr:row>22</xdr:row>
                    <xdr:rowOff>152400</xdr:rowOff>
                  </from>
                  <to>
                    <xdr:col>1</xdr:col>
                    <xdr:colOff>590550</xdr:colOff>
                    <xdr:row>22</xdr:row>
                    <xdr:rowOff>323850</xdr:rowOff>
                  </to>
                </anchor>
              </controlPr>
            </control>
          </mc:Choice>
        </mc:AlternateContent>
        <mc:AlternateContent xmlns:mc="http://schemas.openxmlformats.org/markup-compatibility/2006">
          <mc:Choice Requires="x14">
            <control shapeId="76811" r:id="rId12" name="Check Box 11">
              <controlPr locked="0" defaultSize="0" autoFill="0" autoLine="0" autoPict="0">
                <anchor moveWithCells="1">
                  <from>
                    <xdr:col>1</xdr:col>
                    <xdr:colOff>314325</xdr:colOff>
                    <xdr:row>26</xdr:row>
                    <xdr:rowOff>152400</xdr:rowOff>
                  </from>
                  <to>
                    <xdr:col>1</xdr:col>
                    <xdr:colOff>581025</xdr:colOff>
                    <xdr:row>26</xdr:row>
                    <xdr:rowOff>323850</xdr:rowOff>
                  </to>
                </anchor>
              </controlPr>
            </control>
          </mc:Choice>
        </mc:AlternateContent>
        <mc:AlternateContent xmlns:mc="http://schemas.openxmlformats.org/markup-compatibility/2006">
          <mc:Choice Requires="x14">
            <control shapeId="76812" r:id="rId13" name="Check Box 12">
              <controlPr locked="0" defaultSize="0" autoFill="0" autoLine="0" autoPict="0">
                <anchor moveWithCells="1">
                  <from>
                    <xdr:col>2</xdr:col>
                    <xdr:colOff>323850</xdr:colOff>
                    <xdr:row>26</xdr:row>
                    <xdr:rowOff>152400</xdr:rowOff>
                  </from>
                  <to>
                    <xdr:col>2</xdr:col>
                    <xdr:colOff>590550</xdr:colOff>
                    <xdr:row>26</xdr:row>
                    <xdr:rowOff>323850</xdr:rowOff>
                  </to>
                </anchor>
              </controlPr>
            </control>
          </mc:Choice>
        </mc:AlternateContent>
        <mc:AlternateContent xmlns:mc="http://schemas.openxmlformats.org/markup-compatibility/2006">
          <mc:Choice Requires="x14">
            <control shapeId="76813" r:id="rId14" name="Check Box 13">
              <controlPr locked="0" defaultSize="0" autoFill="0" autoLine="0" autoPict="0">
                <anchor moveWithCells="1">
                  <from>
                    <xdr:col>3</xdr:col>
                    <xdr:colOff>304800</xdr:colOff>
                    <xdr:row>26</xdr:row>
                    <xdr:rowOff>152400</xdr:rowOff>
                  </from>
                  <to>
                    <xdr:col>3</xdr:col>
                    <xdr:colOff>571500</xdr:colOff>
                    <xdr:row>26</xdr:row>
                    <xdr:rowOff>323850</xdr:rowOff>
                  </to>
                </anchor>
              </controlPr>
            </control>
          </mc:Choice>
        </mc:AlternateContent>
        <mc:AlternateContent xmlns:mc="http://schemas.openxmlformats.org/markup-compatibility/2006">
          <mc:Choice Requires="x14">
            <control shapeId="76814" r:id="rId15" name="Check Box 14">
              <controlPr locked="0" defaultSize="0" autoFill="0" autoLine="0" autoPict="0">
                <anchor moveWithCells="1">
                  <from>
                    <xdr:col>4</xdr:col>
                    <xdr:colOff>304800</xdr:colOff>
                    <xdr:row>27</xdr:row>
                    <xdr:rowOff>0</xdr:rowOff>
                  </from>
                  <to>
                    <xdr:col>4</xdr:col>
                    <xdr:colOff>571500</xdr:colOff>
                    <xdr:row>28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8" tint="0.79998168889431442"/>
    <pageSetUpPr fitToPage="1"/>
  </sheetPr>
  <dimension ref="A1:F29"/>
  <sheetViews>
    <sheetView zoomScaleNormal="100" workbookViewId="0">
      <selection activeCell="C26" sqref="C26:F26"/>
    </sheetView>
  </sheetViews>
  <sheetFormatPr baseColWidth="10" defaultRowHeight="12.75"/>
  <cols>
    <col min="1" max="1" width="4.140625" customWidth="1"/>
    <col min="2" max="2" width="20.28515625" customWidth="1"/>
    <col min="3" max="5" width="18" customWidth="1"/>
    <col min="6" max="6" width="21.140625" customWidth="1"/>
  </cols>
  <sheetData>
    <row r="1" spans="1:6" ht="22.5">
      <c r="A1" s="702" t="s">
        <v>319</v>
      </c>
      <c r="B1" s="702"/>
      <c r="C1" s="646" t="s">
        <v>466</v>
      </c>
      <c r="D1" s="646"/>
      <c r="E1" s="646"/>
      <c r="F1" s="239" t="s">
        <v>1047</v>
      </c>
    </row>
    <row r="2" spans="1:6" ht="5.25" customHeight="1">
      <c r="A2" s="209"/>
      <c r="B2" s="209"/>
      <c r="C2" s="646"/>
      <c r="D2" s="646"/>
      <c r="E2" s="646"/>
      <c r="F2" s="210"/>
    </row>
    <row r="3" spans="1:6" s="9" customFormat="1">
      <c r="A3" s="647" t="str">
        <f>CONCATENATE("Waldabteilung ",'4_Anzeichnungsprotokoll'!D4,"          ","Revier ",'4_Anzeichnungsprotokoll'!D8," ",'4_Anzeichnungsprotokoll'!H8)</f>
        <v xml:space="preserve">Waldabteilung           Revier  </v>
      </c>
      <c r="B3" s="648"/>
      <c r="C3" s="648"/>
      <c r="D3" s="648"/>
      <c r="E3" s="649"/>
      <c r="F3" s="228" t="s">
        <v>412</v>
      </c>
    </row>
    <row r="4" spans="1:6" s="9" customFormat="1" ht="5.25" customHeight="1">
      <c r="A4" s="257"/>
      <c r="B4" s="257"/>
      <c r="C4" s="257"/>
      <c r="D4" s="257"/>
      <c r="E4" s="257"/>
      <c r="F4" s="257"/>
    </row>
    <row r="5" spans="1:6" s="9" customFormat="1">
      <c r="A5" s="647" t="str">
        <f>CONCATENATE("Gemeinde: ",'4_Anzeichnungsprotokoll'!P8,"          Lokalname: ",'4_Anzeichnungsprotokoll'!D23)</f>
        <v xml:space="preserve">Gemeinde:           Lokalname: </v>
      </c>
      <c r="B5" s="648"/>
      <c r="C5" s="648"/>
      <c r="D5" s="648"/>
      <c r="E5" s="649"/>
      <c r="F5" s="257"/>
    </row>
    <row r="6" spans="1:6" s="211" customFormat="1" ht="5.25" customHeight="1">
      <c r="A6" s="209"/>
      <c r="B6" s="209"/>
      <c r="C6" s="646"/>
      <c r="D6" s="646"/>
      <c r="E6" s="646"/>
      <c r="F6" s="210"/>
    </row>
    <row r="7" spans="1:6" s="211" customFormat="1" ht="30.75" customHeight="1">
      <c r="A7" s="704" t="s">
        <v>467</v>
      </c>
      <c r="B7" s="704"/>
      <c r="C7" s="704"/>
      <c r="D7" s="704"/>
      <c r="E7" s="704"/>
      <c r="F7" s="704"/>
    </row>
    <row r="8" spans="1:6" s="211" customFormat="1" ht="10.5" customHeight="1">
      <c r="A8" s="707"/>
      <c r="B8" s="707"/>
      <c r="C8" s="707"/>
      <c r="D8" s="707"/>
      <c r="E8" s="707"/>
      <c r="F8" s="707"/>
    </row>
    <row r="9" spans="1:6" s="211" customFormat="1" ht="13.5" thickBot="1">
      <c r="A9" s="706" t="s">
        <v>468</v>
      </c>
      <c r="B9" s="706"/>
      <c r="C9" s="706"/>
      <c r="D9" s="706"/>
      <c r="E9" s="706"/>
      <c r="F9" s="246" t="s">
        <v>480</v>
      </c>
    </row>
    <row r="10" spans="1:6" s="241" customFormat="1" ht="100.5" customHeight="1">
      <c r="A10" s="247" t="s">
        <v>469</v>
      </c>
      <c r="B10" s="703" t="s">
        <v>479</v>
      </c>
      <c r="C10" s="703"/>
      <c r="D10" s="703"/>
      <c r="E10" s="703"/>
      <c r="F10" s="248"/>
    </row>
    <row r="11" spans="1:6" s="9" customFormat="1" ht="66.75" customHeight="1">
      <c r="A11" s="249" t="s">
        <v>470</v>
      </c>
      <c r="B11" s="711" t="s">
        <v>478</v>
      </c>
      <c r="C11" s="711"/>
      <c r="D11" s="711"/>
      <c r="E11" s="711"/>
      <c r="F11" s="250"/>
    </row>
    <row r="12" spans="1:6" s="9" customFormat="1" ht="30" customHeight="1" thickBot="1">
      <c r="A12" s="251" t="s">
        <v>471</v>
      </c>
      <c r="B12" s="712" t="s">
        <v>477</v>
      </c>
      <c r="C12" s="712"/>
      <c r="D12" s="712"/>
      <c r="E12" s="712"/>
      <c r="F12" s="252"/>
    </row>
    <row r="13" spans="1:6" s="9" customFormat="1" ht="30" customHeight="1">
      <c r="A13" s="253" t="s">
        <v>472</v>
      </c>
      <c r="B13" s="705" t="s">
        <v>476</v>
      </c>
      <c r="C13" s="705"/>
      <c r="D13" s="705"/>
      <c r="E13" s="705"/>
      <c r="F13" s="254"/>
    </row>
    <row r="14" spans="1:6" s="9" customFormat="1" ht="30" customHeight="1" thickBot="1">
      <c r="A14" s="255" t="s">
        <v>473</v>
      </c>
      <c r="B14" s="718" t="s">
        <v>475</v>
      </c>
      <c r="C14" s="718"/>
      <c r="D14" s="718"/>
      <c r="E14" s="718"/>
      <c r="F14" s="256"/>
    </row>
    <row r="15" spans="1:6" s="9" customFormat="1">
      <c r="B15" s="245"/>
    </row>
    <row r="16" spans="1:6" s="9" customFormat="1">
      <c r="A16" s="1" t="s">
        <v>474</v>
      </c>
      <c r="B16" s="1"/>
    </row>
    <row r="17" spans="1:6" s="9" customFormat="1"/>
    <row r="18" spans="1:6" s="9" customFormat="1"/>
    <row r="19" spans="1:6" s="9" customFormat="1"/>
    <row r="20" spans="1:6" s="9" customFormat="1"/>
    <row r="21" spans="1:6" s="9" customFormat="1" ht="33.75" customHeight="1"/>
    <row r="22" spans="1:6" s="9" customFormat="1"/>
    <row r="23" spans="1:6" s="9" customFormat="1"/>
    <row r="24" spans="1:6" s="9" customFormat="1"/>
    <row r="25" spans="1:6" ht="21.75" customHeight="1"/>
    <row r="26" spans="1:6" ht="33" customHeight="1">
      <c r="A26" s="710" t="s">
        <v>481</v>
      </c>
      <c r="B26" s="710"/>
      <c r="C26" s="708"/>
      <c r="D26" s="709"/>
      <c r="E26" s="709"/>
      <c r="F26" s="709"/>
    </row>
    <row r="28" spans="1:6">
      <c r="A28" s="713" t="s">
        <v>482</v>
      </c>
      <c r="B28" s="713"/>
      <c r="C28" s="715" t="str">
        <f>CONCATENATE("Unterschrift Revierförster / Projekleiter ",'4_Anzeichnungsprotokoll'!X8)</f>
        <v xml:space="preserve">Unterschrift Revierförster / Projekleiter </v>
      </c>
      <c r="D28" s="715"/>
      <c r="E28" s="715"/>
      <c r="F28" s="715"/>
    </row>
    <row r="29" spans="1:6" ht="24" customHeight="1">
      <c r="A29" s="714">
        <f ca="1">TODAY()</f>
        <v>44857</v>
      </c>
      <c r="B29" s="714"/>
      <c r="C29" s="716"/>
      <c r="D29" s="717"/>
      <c r="E29" s="717"/>
      <c r="F29" s="717"/>
    </row>
  </sheetData>
  <sheetProtection sheet="1" objects="1" selectLockedCells="1"/>
  <mergeCells count="20">
    <mergeCell ref="A28:B28"/>
    <mergeCell ref="A29:B29"/>
    <mergeCell ref="C28:F28"/>
    <mergeCell ref="C29:F29"/>
    <mergeCell ref="B14:E14"/>
    <mergeCell ref="B13:E13"/>
    <mergeCell ref="A9:E9"/>
    <mergeCell ref="A8:F8"/>
    <mergeCell ref="C26:F26"/>
    <mergeCell ref="A26:B26"/>
    <mergeCell ref="B11:E11"/>
    <mergeCell ref="B12:E12"/>
    <mergeCell ref="A1:B1"/>
    <mergeCell ref="B10:E10"/>
    <mergeCell ref="C1:E1"/>
    <mergeCell ref="C2:E2"/>
    <mergeCell ref="A3:E3"/>
    <mergeCell ref="C6:E6"/>
    <mergeCell ref="A7:F7"/>
    <mergeCell ref="A5:E5"/>
  </mergeCells>
  <pageMargins left="0.70866141732283472" right="0.70866141732283472" top="0.78740157480314965" bottom="0.78740157480314965"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5006" r:id="rId4" name="Check Box 14">
              <controlPr locked="0" defaultSize="0" autoFill="0" autoLine="0" autoPict="0">
                <anchor moveWithCells="1">
                  <from>
                    <xdr:col>5</xdr:col>
                    <xdr:colOff>104775</xdr:colOff>
                    <xdr:row>18</xdr:row>
                    <xdr:rowOff>57150</xdr:rowOff>
                  </from>
                  <to>
                    <xdr:col>5</xdr:col>
                    <xdr:colOff>942975</xdr:colOff>
                    <xdr:row>19</xdr:row>
                    <xdr:rowOff>133350</xdr:rowOff>
                  </to>
                </anchor>
              </controlPr>
            </control>
          </mc:Choice>
        </mc:AlternateContent>
        <mc:AlternateContent xmlns:mc="http://schemas.openxmlformats.org/markup-compatibility/2006">
          <mc:Choice Requires="x14">
            <control shapeId="85008" r:id="rId5" name="Check Box 16">
              <controlPr locked="0" defaultSize="0" autoFill="0" autoLine="0" autoPict="0">
                <anchor moveWithCells="1">
                  <from>
                    <xdr:col>4</xdr:col>
                    <xdr:colOff>19050</xdr:colOff>
                    <xdr:row>22</xdr:row>
                    <xdr:rowOff>9525</xdr:rowOff>
                  </from>
                  <to>
                    <xdr:col>4</xdr:col>
                    <xdr:colOff>857250</xdr:colOff>
                    <xdr:row>23</xdr:row>
                    <xdr:rowOff>85725</xdr:rowOff>
                  </to>
                </anchor>
              </controlPr>
            </control>
          </mc:Choice>
        </mc:AlternateContent>
        <mc:AlternateContent xmlns:mc="http://schemas.openxmlformats.org/markup-compatibility/2006">
          <mc:Choice Requires="x14">
            <control shapeId="85004" r:id="rId6" name="Check Box 12">
              <controlPr locked="0" defaultSize="0" autoFill="0" autoLine="0" autoPict="0">
                <anchor moveWithCells="1" sizeWithCells="1">
                  <from>
                    <xdr:col>5</xdr:col>
                    <xdr:colOff>752475</xdr:colOff>
                    <xdr:row>13</xdr:row>
                    <xdr:rowOff>38100</xdr:rowOff>
                  </from>
                  <to>
                    <xdr:col>5</xdr:col>
                    <xdr:colOff>1343025</xdr:colOff>
                    <xdr:row>13</xdr:row>
                    <xdr:rowOff>276225</xdr:rowOff>
                  </to>
                </anchor>
              </controlPr>
            </control>
          </mc:Choice>
        </mc:AlternateContent>
        <mc:AlternateContent xmlns:mc="http://schemas.openxmlformats.org/markup-compatibility/2006">
          <mc:Choice Requires="x14">
            <control shapeId="85005" r:id="rId7" name="Check Box 13">
              <controlPr locked="0" defaultSize="0" autoFill="0" autoLine="0" autoPict="0">
                <anchor moveWithCells="1" sizeWithCells="1">
                  <from>
                    <xdr:col>5</xdr:col>
                    <xdr:colOff>47625</xdr:colOff>
                    <xdr:row>13</xdr:row>
                    <xdr:rowOff>38100</xdr:rowOff>
                  </from>
                  <to>
                    <xdr:col>5</xdr:col>
                    <xdr:colOff>638175</xdr:colOff>
                    <xdr:row>13</xdr:row>
                    <xdr:rowOff>276225</xdr:rowOff>
                  </to>
                </anchor>
              </controlPr>
            </control>
          </mc:Choice>
        </mc:AlternateContent>
        <mc:AlternateContent xmlns:mc="http://schemas.openxmlformats.org/markup-compatibility/2006">
          <mc:Choice Requires="x14">
            <control shapeId="85002" r:id="rId8" name="Check Box 10">
              <controlPr locked="0" defaultSize="0" autoFill="0" autoLine="0" autoPict="0">
                <anchor moveWithCells="1" sizeWithCells="1">
                  <from>
                    <xdr:col>5</xdr:col>
                    <xdr:colOff>752475</xdr:colOff>
                    <xdr:row>12</xdr:row>
                    <xdr:rowOff>38100</xdr:rowOff>
                  </from>
                  <to>
                    <xdr:col>5</xdr:col>
                    <xdr:colOff>1343025</xdr:colOff>
                    <xdr:row>12</xdr:row>
                    <xdr:rowOff>276225</xdr:rowOff>
                  </to>
                </anchor>
              </controlPr>
            </control>
          </mc:Choice>
        </mc:AlternateContent>
        <mc:AlternateContent xmlns:mc="http://schemas.openxmlformats.org/markup-compatibility/2006">
          <mc:Choice Requires="x14">
            <control shapeId="85003" r:id="rId9" name="Check Box 11">
              <controlPr locked="0" defaultSize="0" autoFill="0" autoLine="0" autoPict="0">
                <anchor moveWithCells="1" sizeWithCells="1">
                  <from>
                    <xdr:col>5</xdr:col>
                    <xdr:colOff>47625</xdr:colOff>
                    <xdr:row>12</xdr:row>
                    <xdr:rowOff>38100</xdr:rowOff>
                  </from>
                  <to>
                    <xdr:col>5</xdr:col>
                    <xdr:colOff>638175</xdr:colOff>
                    <xdr:row>12</xdr:row>
                    <xdr:rowOff>276225</xdr:rowOff>
                  </to>
                </anchor>
              </controlPr>
            </control>
          </mc:Choice>
        </mc:AlternateContent>
        <mc:AlternateContent xmlns:mc="http://schemas.openxmlformats.org/markup-compatibility/2006">
          <mc:Choice Requires="x14">
            <control shapeId="85000" r:id="rId10" name="Check Box 8">
              <controlPr locked="0" defaultSize="0" autoFill="0" autoLine="0" autoPict="0">
                <anchor moveWithCells="1" sizeWithCells="1">
                  <from>
                    <xdr:col>5</xdr:col>
                    <xdr:colOff>762000</xdr:colOff>
                    <xdr:row>11</xdr:row>
                    <xdr:rowOff>38100</xdr:rowOff>
                  </from>
                  <to>
                    <xdr:col>5</xdr:col>
                    <xdr:colOff>1352550</xdr:colOff>
                    <xdr:row>11</xdr:row>
                    <xdr:rowOff>276225</xdr:rowOff>
                  </to>
                </anchor>
              </controlPr>
            </control>
          </mc:Choice>
        </mc:AlternateContent>
        <mc:AlternateContent xmlns:mc="http://schemas.openxmlformats.org/markup-compatibility/2006">
          <mc:Choice Requires="x14">
            <control shapeId="85001" r:id="rId11" name="Check Box 9">
              <controlPr locked="0" defaultSize="0" autoFill="0" autoLine="0" autoPict="0">
                <anchor moveWithCells="1" sizeWithCells="1">
                  <from>
                    <xdr:col>5</xdr:col>
                    <xdr:colOff>57150</xdr:colOff>
                    <xdr:row>11</xdr:row>
                    <xdr:rowOff>38100</xdr:rowOff>
                  </from>
                  <to>
                    <xdr:col>5</xdr:col>
                    <xdr:colOff>647700</xdr:colOff>
                    <xdr:row>11</xdr:row>
                    <xdr:rowOff>276225</xdr:rowOff>
                  </to>
                </anchor>
              </controlPr>
            </control>
          </mc:Choice>
        </mc:AlternateContent>
        <mc:AlternateContent xmlns:mc="http://schemas.openxmlformats.org/markup-compatibility/2006">
          <mc:Choice Requires="x14">
            <control shapeId="84998" r:id="rId12" name="Check Box 6">
              <controlPr locked="0" defaultSize="0" autoFill="0" autoLine="0" autoPict="0">
                <anchor moveWithCells="1" sizeWithCells="1">
                  <from>
                    <xdr:col>5</xdr:col>
                    <xdr:colOff>752475</xdr:colOff>
                    <xdr:row>10</xdr:row>
                    <xdr:rowOff>38100</xdr:rowOff>
                  </from>
                  <to>
                    <xdr:col>5</xdr:col>
                    <xdr:colOff>1343025</xdr:colOff>
                    <xdr:row>10</xdr:row>
                    <xdr:rowOff>276225</xdr:rowOff>
                  </to>
                </anchor>
              </controlPr>
            </control>
          </mc:Choice>
        </mc:AlternateContent>
        <mc:AlternateContent xmlns:mc="http://schemas.openxmlformats.org/markup-compatibility/2006">
          <mc:Choice Requires="x14">
            <control shapeId="84999" r:id="rId13" name="Check Box 7">
              <controlPr locked="0" defaultSize="0" autoFill="0" autoLine="0" autoPict="0">
                <anchor moveWithCells="1" sizeWithCells="1">
                  <from>
                    <xdr:col>5</xdr:col>
                    <xdr:colOff>47625</xdr:colOff>
                    <xdr:row>10</xdr:row>
                    <xdr:rowOff>38100</xdr:rowOff>
                  </from>
                  <to>
                    <xdr:col>5</xdr:col>
                    <xdr:colOff>638175</xdr:colOff>
                    <xdr:row>10</xdr:row>
                    <xdr:rowOff>276225</xdr:rowOff>
                  </to>
                </anchor>
              </controlPr>
            </control>
          </mc:Choice>
        </mc:AlternateContent>
        <mc:AlternateContent xmlns:mc="http://schemas.openxmlformats.org/markup-compatibility/2006">
          <mc:Choice Requires="x14">
            <control shapeId="84996" r:id="rId14" name="Check Box 4">
              <controlPr locked="0" defaultSize="0" autoFill="0" autoLine="0" autoPict="0">
                <anchor moveWithCells="1" sizeWithCells="1">
                  <from>
                    <xdr:col>5</xdr:col>
                    <xdr:colOff>762000</xdr:colOff>
                    <xdr:row>9</xdr:row>
                    <xdr:rowOff>19050</xdr:rowOff>
                  </from>
                  <to>
                    <xdr:col>5</xdr:col>
                    <xdr:colOff>1352550</xdr:colOff>
                    <xdr:row>9</xdr:row>
                    <xdr:rowOff>257175</xdr:rowOff>
                  </to>
                </anchor>
              </controlPr>
            </control>
          </mc:Choice>
        </mc:AlternateContent>
        <mc:AlternateContent xmlns:mc="http://schemas.openxmlformats.org/markup-compatibility/2006">
          <mc:Choice Requires="x14">
            <control shapeId="84997" r:id="rId15" name="Check Box 5">
              <controlPr locked="0" defaultSize="0" autoFill="0" autoLine="0" autoPict="0">
                <anchor moveWithCells="1" sizeWithCells="1">
                  <from>
                    <xdr:col>5</xdr:col>
                    <xdr:colOff>57150</xdr:colOff>
                    <xdr:row>9</xdr:row>
                    <xdr:rowOff>19050</xdr:rowOff>
                  </from>
                  <to>
                    <xdr:col>5</xdr:col>
                    <xdr:colOff>647700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8" tint="0.79998168889431442"/>
    <pageSetUpPr fitToPage="1"/>
  </sheetPr>
  <dimension ref="A1:K53"/>
  <sheetViews>
    <sheetView zoomScaleNormal="100" workbookViewId="0">
      <selection activeCell="E2" sqref="E2"/>
    </sheetView>
  </sheetViews>
  <sheetFormatPr baseColWidth="10" defaultRowHeight="12.75"/>
  <cols>
    <col min="1" max="1" width="20.28515625" customWidth="1"/>
    <col min="2" max="2" width="14.28515625" bestFit="1" customWidth="1"/>
    <col min="3" max="5" width="25.140625" customWidth="1"/>
    <col min="6" max="8" width="11.42578125" hidden="1" customWidth="1"/>
    <col min="9" max="9" width="20.140625" hidden="1" customWidth="1"/>
    <col min="10" max="11" width="11.42578125" hidden="1" customWidth="1"/>
    <col min="12" max="12" width="11.42578125" customWidth="1"/>
  </cols>
  <sheetData>
    <row r="1" spans="1:11" ht="22.5">
      <c r="A1" s="238" t="s">
        <v>319</v>
      </c>
      <c r="B1" s="646" t="s">
        <v>413</v>
      </c>
      <c r="C1" s="646"/>
      <c r="D1" s="646"/>
      <c r="E1" s="239" t="s">
        <v>1047</v>
      </c>
    </row>
    <row r="2" spans="1:11" ht="5.25" customHeight="1">
      <c r="A2" s="209"/>
      <c r="B2" s="646"/>
      <c r="C2" s="646"/>
      <c r="D2" s="646"/>
      <c r="E2" s="210"/>
    </row>
    <row r="3" spans="1:11" s="9" customFormat="1">
      <c r="A3" s="647" t="str">
        <f>CONCATENATE("Waldabteilung ",'4_Anzeichnungsprotokoll'!D4," ","Revier ",'4_Anzeichnungsprotokoll'!D8," ",'4_Anzeichnungsprotokoll'!H8," Gemeinde ",'4_Anzeichnungsprotokoll'!P8," Lokalname ",'4_Anzeichnungsprotokoll'!D23)</f>
        <v xml:space="preserve">Waldabteilung  Revier   Gemeinde  Lokalname </v>
      </c>
      <c r="B3" s="648"/>
      <c r="C3" s="648"/>
      <c r="D3" s="649"/>
      <c r="E3" s="228" t="s">
        <v>412</v>
      </c>
    </row>
    <row r="4" spans="1:11" s="211" customFormat="1" ht="5.25" customHeight="1">
      <c r="A4" s="209"/>
      <c r="B4" s="646"/>
      <c r="C4" s="646"/>
      <c r="D4" s="646"/>
      <c r="E4" s="210"/>
    </row>
    <row r="5" spans="1:11" s="211" customFormat="1" ht="30.75" customHeight="1">
      <c r="A5" s="735" t="s">
        <v>414</v>
      </c>
      <c r="B5" s="735"/>
      <c r="C5" s="735"/>
      <c r="D5" s="735"/>
      <c r="E5" s="735"/>
    </row>
    <row r="6" spans="1:11" ht="26.25" customHeight="1">
      <c r="A6" s="732" t="s">
        <v>415</v>
      </c>
      <c r="B6" s="736" t="s">
        <v>346</v>
      </c>
      <c r="C6" s="737"/>
      <c r="D6" s="229" t="s">
        <v>416</v>
      </c>
      <c r="E6" s="230" t="s">
        <v>417</v>
      </c>
    </row>
    <row r="7" spans="1:11" ht="12.75" customHeight="1">
      <c r="A7" s="733"/>
      <c r="B7" s="738" t="s">
        <v>418</v>
      </c>
      <c r="C7" s="738" t="s">
        <v>419</v>
      </c>
      <c r="D7" s="732" t="s">
        <v>420</v>
      </c>
      <c r="E7" s="732" t="s">
        <v>421</v>
      </c>
    </row>
    <row r="8" spans="1:11" ht="12.75" customHeight="1">
      <c r="A8" s="733"/>
      <c r="B8" s="739"/>
      <c r="C8" s="739"/>
      <c r="D8" s="739"/>
      <c r="E8" s="739"/>
    </row>
    <row r="9" spans="1:11" ht="12.75" customHeight="1">
      <c r="A9" s="734"/>
      <c r="B9" s="740"/>
      <c r="C9" s="740"/>
      <c r="D9" s="740"/>
      <c r="E9" s="740"/>
    </row>
    <row r="10" spans="1:11" ht="12.75" customHeight="1">
      <c r="A10" s="232" t="s">
        <v>324</v>
      </c>
      <c r="B10" s="743" t="s">
        <v>424</v>
      </c>
      <c r="C10" s="233" t="s">
        <v>425</v>
      </c>
      <c r="D10" s="234" t="s">
        <v>427</v>
      </c>
      <c r="E10" s="234" t="s">
        <v>430</v>
      </c>
    </row>
    <row r="11" spans="1:11" ht="12.75" customHeight="1">
      <c r="A11" s="232" t="s">
        <v>325</v>
      </c>
      <c r="B11" s="743"/>
      <c r="C11" s="234" t="s">
        <v>426</v>
      </c>
      <c r="D11" s="234" t="s">
        <v>428</v>
      </c>
      <c r="E11" s="234" t="s">
        <v>431</v>
      </c>
    </row>
    <row r="12" spans="1:11" ht="12.75" customHeight="1">
      <c r="A12" s="232" t="s">
        <v>326</v>
      </c>
      <c r="B12" s="743"/>
      <c r="C12" s="234" t="s">
        <v>330</v>
      </c>
      <c r="D12" s="234" t="s">
        <v>429</v>
      </c>
      <c r="E12" s="234"/>
    </row>
    <row r="13" spans="1:11" ht="12.75" customHeight="1">
      <c r="A13" s="232" t="s">
        <v>327</v>
      </c>
      <c r="B13" s="743"/>
      <c r="C13" s="234" t="s">
        <v>331</v>
      </c>
      <c r="D13" s="234"/>
      <c r="E13" s="234"/>
    </row>
    <row r="14" spans="1:11" ht="12.75" customHeight="1">
      <c r="A14" s="232" t="s">
        <v>422</v>
      </c>
      <c r="B14" s="743"/>
      <c r="C14" s="746" t="s">
        <v>1036</v>
      </c>
      <c r="D14" s="234"/>
      <c r="E14" s="234"/>
    </row>
    <row r="15" spans="1:11" ht="15" customHeight="1">
      <c r="A15" s="235" t="s">
        <v>423</v>
      </c>
      <c r="B15" s="743"/>
      <c r="C15" s="747"/>
      <c r="D15" s="234"/>
      <c r="E15" s="234"/>
      <c r="G15" s="7"/>
      <c r="H15" s="7"/>
      <c r="I15" s="7"/>
      <c r="J15" s="7"/>
      <c r="K15" s="7"/>
    </row>
    <row r="16" spans="1:11" ht="15" customHeight="1">
      <c r="A16" s="244" t="s">
        <v>432</v>
      </c>
      <c r="B16" s="741" t="s">
        <v>433</v>
      </c>
      <c r="C16" s="742"/>
      <c r="D16" s="236" t="s">
        <v>435</v>
      </c>
      <c r="E16" s="236" t="s">
        <v>437</v>
      </c>
      <c r="G16" s="7"/>
      <c r="H16" s="7"/>
      <c r="I16" s="7"/>
      <c r="J16" s="7"/>
      <c r="K16" s="7"/>
    </row>
    <row r="17" spans="1:11" ht="15" customHeight="1">
      <c r="A17" s="235"/>
      <c r="B17" s="744" t="s">
        <v>434</v>
      </c>
      <c r="C17" s="745"/>
      <c r="D17" s="237" t="s">
        <v>436</v>
      </c>
      <c r="E17" s="237" t="s">
        <v>438</v>
      </c>
      <c r="G17" s="224" t="b">
        <v>0</v>
      </c>
      <c r="H17" s="224" t="str">
        <f>IF(G17=TRUE," ","")</f>
        <v/>
      </c>
      <c r="I17" s="225" t="s">
        <v>439</v>
      </c>
      <c r="J17" s="224" t="str">
        <f>CONCATENATE(I17,H17)</f>
        <v>2'000.-- CHF/ha</v>
      </c>
      <c r="K17" s="225" t="s">
        <v>440</v>
      </c>
    </row>
    <row r="18" spans="1:11">
      <c r="A18" s="722" t="str">
        <f>J17</f>
        <v>2'000.-- CHF/ha</v>
      </c>
      <c r="B18" s="722" t="str">
        <f>J18</f>
        <v>2'500.-- CHF/ha</v>
      </c>
      <c r="C18" s="722" t="str">
        <f>J19</f>
        <v>3'000.-- CHF/ha
(*7'800.-- CHF/ha)</v>
      </c>
      <c r="D18" s="722" t="str">
        <f>J20</f>
        <v>bis 100.-- CHF/Baum, es gilt die Herleitung gemäss KS 6.4/1 Forstschutz</v>
      </c>
      <c r="E18" s="722" t="str">
        <f>J21</f>
        <v>10'000.-- CHF/ha</v>
      </c>
      <c r="G18" s="224" t="b">
        <v>0</v>
      </c>
      <c r="H18" s="224" t="str">
        <f>IF(G18=TRUE," ","")</f>
        <v/>
      </c>
      <c r="I18" s="225" t="s">
        <v>441</v>
      </c>
      <c r="J18" s="224" t="str">
        <f>CONCATENATE(I18,H18)</f>
        <v>2'500.-- CHF/ha</v>
      </c>
      <c r="K18" s="225" t="s">
        <v>442</v>
      </c>
    </row>
    <row r="19" spans="1:11" ht="12.75" customHeight="1">
      <c r="A19" s="723"/>
      <c r="B19" s="723"/>
      <c r="C19" s="723"/>
      <c r="D19" s="723"/>
      <c r="E19" s="723"/>
      <c r="G19" s="224" t="b">
        <v>0</v>
      </c>
      <c r="H19" s="224" t="str">
        <f>IF(G19=TRUE," ","")</f>
        <v/>
      </c>
      <c r="I19" s="489" t="s">
        <v>1037</v>
      </c>
      <c r="J19" s="224" t="str">
        <f>CONCATENATE(I19,H19)</f>
        <v>3'000.-- CHF/ha
(*7'800.-- CHF/ha)</v>
      </c>
      <c r="K19" s="489" t="s">
        <v>1038</v>
      </c>
    </row>
    <row r="20" spans="1:11">
      <c r="A20" s="724"/>
      <c r="B20" s="724"/>
      <c r="C20" s="724"/>
      <c r="D20" s="724"/>
      <c r="E20" s="724"/>
      <c r="G20" s="224" t="b">
        <v>0</v>
      </c>
      <c r="H20" s="224" t="str">
        <f>IF(G20=TRUE," ","")</f>
        <v/>
      </c>
      <c r="I20" s="225" t="s">
        <v>443</v>
      </c>
      <c r="J20" s="224" t="str">
        <f>CONCATENATE(I20,H20)</f>
        <v>bis 100.-- CHF/Baum, es gilt die Herleitung gemäss KS 6.4/1 Forstschutz</v>
      </c>
      <c r="K20" s="225" t="s">
        <v>444</v>
      </c>
    </row>
    <row r="21" spans="1:11">
      <c r="A21" s="240"/>
      <c r="B21" s="240"/>
      <c r="C21" s="240"/>
      <c r="D21" s="240"/>
      <c r="E21" s="240"/>
      <c r="G21" s="224" t="b">
        <v>0</v>
      </c>
      <c r="H21" s="224" t="str">
        <f>IF(G21=TRUE," ","")</f>
        <v/>
      </c>
      <c r="I21" s="225" t="s">
        <v>445</v>
      </c>
      <c r="J21" s="224" t="str">
        <f>CONCATENATE(I21,H21)</f>
        <v>10'000.-- CHF/ha</v>
      </c>
      <c r="K21" s="225" t="s">
        <v>446</v>
      </c>
    </row>
    <row r="22" spans="1:11" ht="18" customHeight="1">
      <c r="A22" s="725" t="s">
        <v>447</v>
      </c>
      <c r="B22" s="726"/>
      <c r="C22" s="727" t="s">
        <v>449</v>
      </c>
      <c r="D22" s="727"/>
      <c r="E22" s="231" t="s">
        <v>385</v>
      </c>
    </row>
    <row r="23" spans="1:11" s="208" customFormat="1" ht="18" customHeight="1">
      <c r="A23" s="720" t="s">
        <v>448</v>
      </c>
      <c r="B23" s="721"/>
      <c r="C23" s="727" t="s">
        <v>450</v>
      </c>
      <c r="D23" s="727"/>
      <c r="E23" s="231" t="s">
        <v>451</v>
      </c>
    </row>
    <row r="24" spans="1:11" s="208" customFormat="1" ht="18" customHeight="1">
      <c r="A24" s="728" t="s">
        <v>452</v>
      </c>
      <c r="B24" s="729"/>
      <c r="C24" s="727" t="s">
        <v>453</v>
      </c>
      <c r="D24" s="727"/>
      <c r="E24" s="231" t="s">
        <v>385</v>
      </c>
    </row>
    <row r="25" spans="1:11" s="208" customFormat="1" ht="18" customHeight="1">
      <c r="A25" s="725" t="s">
        <v>381</v>
      </c>
      <c r="B25" s="726"/>
      <c r="C25" s="727" t="s">
        <v>454</v>
      </c>
      <c r="D25" s="727"/>
      <c r="E25" s="231" t="s">
        <v>456</v>
      </c>
    </row>
    <row r="26" spans="1:11" s="208" customFormat="1" ht="18" customHeight="1">
      <c r="A26" s="730"/>
      <c r="B26" s="731"/>
      <c r="C26" s="727" t="s">
        <v>455</v>
      </c>
      <c r="D26" s="727"/>
      <c r="E26" s="231" t="s">
        <v>457</v>
      </c>
    </row>
    <row r="27" spans="1:11" s="9" customFormat="1">
      <c r="A27" s="241"/>
      <c r="B27" s="241"/>
      <c r="C27" s="241"/>
      <c r="D27" s="150"/>
      <c r="E27" s="150"/>
    </row>
    <row r="28" spans="1:11" s="9" customFormat="1">
      <c r="A28" s="242" t="s">
        <v>458</v>
      </c>
      <c r="B28" s="241"/>
      <c r="C28" s="241"/>
      <c r="D28" s="150"/>
      <c r="E28" s="150"/>
    </row>
    <row r="29" spans="1:11" s="9" customFormat="1" ht="16.5" customHeight="1">
      <c r="A29" s="719" t="s">
        <v>459</v>
      </c>
      <c r="B29" s="719"/>
      <c r="C29" s="719"/>
      <c r="D29" s="719"/>
      <c r="E29" s="719"/>
    </row>
    <row r="30" spans="1:11" s="9" customFormat="1" ht="32.25" customHeight="1">
      <c r="A30" s="719" t="s">
        <v>462</v>
      </c>
      <c r="B30" s="719"/>
      <c r="C30" s="719"/>
      <c r="D30" s="719"/>
      <c r="E30" s="719"/>
    </row>
    <row r="31" spans="1:11" s="9" customFormat="1" ht="70.5" customHeight="1">
      <c r="A31" s="719" t="s">
        <v>464</v>
      </c>
      <c r="B31" s="719"/>
      <c r="C31" s="719"/>
      <c r="D31" s="719"/>
      <c r="E31" s="719"/>
    </row>
    <row r="32" spans="1:11" s="9" customFormat="1" ht="18.75" customHeight="1">
      <c r="A32" s="719" t="s">
        <v>465</v>
      </c>
      <c r="B32" s="719"/>
      <c r="C32" s="719"/>
      <c r="D32" s="719"/>
      <c r="E32" s="719"/>
    </row>
    <row r="33" spans="1:5" s="9" customFormat="1" ht="33.75" customHeight="1">
      <c r="A33" s="719" t="s">
        <v>1045</v>
      </c>
      <c r="B33" s="719"/>
      <c r="C33" s="719"/>
      <c r="D33" s="719"/>
      <c r="E33" s="719"/>
    </row>
    <row r="34" spans="1:5" s="9" customFormat="1" ht="17.25" customHeight="1">
      <c r="A34" s="719" t="s">
        <v>460</v>
      </c>
      <c r="B34" s="719"/>
      <c r="C34" s="719"/>
      <c r="D34" s="719"/>
      <c r="E34" s="719"/>
    </row>
    <row r="35" spans="1:5" s="9" customFormat="1" ht="33" customHeight="1">
      <c r="A35" s="719" t="s">
        <v>463</v>
      </c>
      <c r="B35" s="719"/>
      <c r="C35" s="719"/>
      <c r="D35" s="719"/>
      <c r="E35" s="719"/>
    </row>
    <row r="36" spans="1:5" s="9" customFormat="1" ht="21" customHeight="1">
      <c r="A36" s="719" t="s">
        <v>461</v>
      </c>
      <c r="B36" s="719"/>
      <c r="C36" s="719"/>
      <c r="D36" s="719"/>
      <c r="E36" s="719"/>
    </row>
    <row r="37" spans="1:5" s="9" customFormat="1">
      <c r="A37" s="243"/>
      <c r="B37" s="243"/>
      <c r="C37" s="243"/>
      <c r="D37" s="243"/>
      <c r="E37" s="243"/>
    </row>
    <row r="38" spans="1:5" s="9" customFormat="1">
      <c r="A38" s="243"/>
      <c r="B38" s="243"/>
      <c r="C38" s="243"/>
      <c r="D38" s="243"/>
      <c r="E38" s="243"/>
    </row>
    <row r="39" spans="1:5" s="9" customFormat="1">
      <c r="A39" s="243"/>
      <c r="B39" s="243"/>
      <c r="C39" s="243"/>
      <c r="D39" s="243"/>
      <c r="E39" s="243"/>
    </row>
    <row r="40" spans="1:5" s="9" customFormat="1">
      <c r="A40" s="243"/>
      <c r="B40" s="243"/>
      <c r="C40" s="243"/>
      <c r="D40" s="243"/>
      <c r="E40" s="243"/>
    </row>
    <row r="41" spans="1:5" s="9" customFormat="1">
      <c r="A41" s="241"/>
      <c r="B41" s="150"/>
      <c r="C41" s="150"/>
      <c r="D41" s="150"/>
      <c r="E41" s="150"/>
    </row>
    <row r="42" spans="1:5" s="9" customFormat="1">
      <c r="A42" s="76"/>
      <c r="B42" s="76"/>
      <c r="C42" s="76"/>
      <c r="D42" s="76"/>
      <c r="E42" s="76"/>
    </row>
    <row r="43" spans="1:5" s="9" customFormat="1">
      <c r="A43" s="76"/>
      <c r="B43" s="76"/>
      <c r="C43" s="76"/>
      <c r="D43" s="76"/>
      <c r="E43" s="76"/>
    </row>
    <row r="44" spans="1:5" s="9" customFormat="1"/>
    <row r="45" spans="1:5" s="9" customFormat="1"/>
    <row r="46" spans="1:5" s="9" customFormat="1"/>
    <row r="47" spans="1:5" s="9" customFormat="1"/>
    <row r="48" spans="1:5" s="9" customFormat="1"/>
    <row r="49" s="9" customFormat="1"/>
    <row r="50" s="9" customFormat="1"/>
    <row r="51" s="9" customFormat="1"/>
    <row r="52" s="9" customFormat="1"/>
    <row r="53" s="9" customFormat="1"/>
  </sheetData>
  <sheetProtection sheet="1" objects="1" selectLockedCells="1"/>
  <mergeCells count="37">
    <mergeCell ref="A6:A9"/>
    <mergeCell ref="D18:D20"/>
    <mergeCell ref="B1:D1"/>
    <mergeCell ref="B2:D2"/>
    <mergeCell ref="A3:D3"/>
    <mergeCell ref="B4:D4"/>
    <mergeCell ref="A5:E5"/>
    <mergeCell ref="B6:C6"/>
    <mergeCell ref="B7:B9"/>
    <mergeCell ref="C7:C9"/>
    <mergeCell ref="D7:D9"/>
    <mergeCell ref="B16:C16"/>
    <mergeCell ref="E7:E9"/>
    <mergeCell ref="B10:B15"/>
    <mergeCell ref="B17:C17"/>
    <mergeCell ref="C14:C15"/>
    <mergeCell ref="A23:B23"/>
    <mergeCell ref="A31:E31"/>
    <mergeCell ref="A32:E32"/>
    <mergeCell ref="A33:E33"/>
    <mergeCell ref="E18:E20"/>
    <mergeCell ref="A22:B22"/>
    <mergeCell ref="C26:D26"/>
    <mergeCell ref="C23:D23"/>
    <mergeCell ref="A24:B24"/>
    <mergeCell ref="C24:D24"/>
    <mergeCell ref="C25:D25"/>
    <mergeCell ref="A25:B26"/>
    <mergeCell ref="A18:A20"/>
    <mergeCell ref="B18:B20"/>
    <mergeCell ref="C18:C20"/>
    <mergeCell ref="C22:D22"/>
    <mergeCell ref="A34:E34"/>
    <mergeCell ref="A35:E35"/>
    <mergeCell ref="A36:E36"/>
    <mergeCell ref="A29:E29"/>
    <mergeCell ref="A30:E30"/>
  </mergeCells>
  <conditionalFormatting sqref="B18 B21">
    <cfRule type="cellIs" dxfId="6" priority="12" operator="between">
      <formula>"2'500.-- CHF/ha "</formula>
      <formula>$K$18</formula>
    </cfRule>
  </conditionalFormatting>
  <conditionalFormatting sqref="E18 E21">
    <cfRule type="cellIs" dxfId="5" priority="11" operator="between">
      <formula>"10'000.-- CHF/ha "</formula>
      <formula>$K$21</formula>
    </cfRule>
  </conditionalFormatting>
  <conditionalFormatting sqref="C18 C21">
    <cfRule type="cellIs" dxfId="4" priority="10" operator="between">
      <formula>"3'000.-- CHF/ha(*7'800.-- CHF/ha) "</formula>
      <formula>$K$19</formula>
    </cfRule>
  </conditionalFormatting>
  <conditionalFormatting sqref="D18 D21">
    <cfRule type="cellIs" dxfId="3" priority="9" operator="between">
      <formula>"bis 100.-- CHF/Baum, es gilt die Herleitung gemäss KS 6.4/1 Forstschutz "</formula>
      <formula>$K$20</formula>
    </cfRule>
  </conditionalFormatting>
  <conditionalFormatting sqref="A18 A21">
    <cfRule type="cellIs" dxfId="2" priority="14" operator="between">
      <formula>"2'000.-- CHF/ha "</formula>
      <formula>$K$17</formula>
    </cfRule>
  </conditionalFormatting>
  <pageMargins left="0.70866141732283472" right="0.70866141732283472" top="0.78740157480314965" bottom="0.78740157480314965"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locked="0" defaultSize="0" autoFill="0" autoLine="0" autoPict="0">
                <anchor moveWithCells="1">
                  <from>
                    <xdr:col>1</xdr:col>
                    <xdr:colOff>9525</xdr:colOff>
                    <xdr:row>18</xdr:row>
                    <xdr:rowOff>152400</xdr:rowOff>
                  </from>
                  <to>
                    <xdr:col>1</xdr:col>
                    <xdr:colOff>276225</xdr:colOff>
                    <xdr:row>20</xdr:row>
                    <xdr:rowOff>0</xdr:rowOff>
                  </to>
                </anchor>
              </controlPr>
            </control>
          </mc:Choice>
        </mc:AlternateContent>
        <mc:AlternateContent xmlns:mc="http://schemas.openxmlformats.org/markup-compatibility/2006">
          <mc:Choice Requires="x14">
            <control shapeId="83970" r:id="rId5" name="Check Box 2">
              <controlPr locked="0" defaultSize="0" autoFill="0" autoLine="0" autoPict="0">
                <anchor moveWithCells="1">
                  <from>
                    <xdr:col>2</xdr:col>
                    <xdr:colOff>9525</xdr:colOff>
                    <xdr:row>18</xdr:row>
                    <xdr:rowOff>152400</xdr:rowOff>
                  </from>
                  <to>
                    <xdr:col>2</xdr:col>
                    <xdr:colOff>276225</xdr:colOff>
                    <xdr:row>20</xdr:row>
                    <xdr:rowOff>0</xdr:rowOff>
                  </to>
                </anchor>
              </controlPr>
            </control>
          </mc:Choice>
        </mc:AlternateContent>
        <mc:AlternateContent xmlns:mc="http://schemas.openxmlformats.org/markup-compatibility/2006">
          <mc:Choice Requires="x14">
            <control shapeId="83971" r:id="rId6" name="Check Box 3">
              <controlPr locked="0" defaultSize="0" autoFill="0" autoLine="0" autoPict="0">
                <anchor moveWithCells="1">
                  <from>
                    <xdr:col>3</xdr:col>
                    <xdr:colOff>9525</xdr:colOff>
                    <xdr:row>18</xdr:row>
                    <xdr:rowOff>152400</xdr:rowOff>
                  </from>
                  <to>
                    <xdr:col>3</xdr:col>
                    <xdr:colOff>276225</xdr:colOff>
                    <xdr:row>20</xdr:row>
                    <xdr:rowOff>0</xdr:rowOff>
                  </to>
                </anchor>
              </controlPr>
            </control>
          </mc:Choice>
        </mc:AlternateContent>
        <mc:AlternateContent xmlns:mc="http://schemas.openxmlformats.org/markup-compatibility/2006">
          <mc:Choice Requires="x14">
            <control shapeId="83972" r:id="rId7" name="Check Box 4">
              <controlPr locked="0" defaultSize="0" autoFill="0" autoLine="0" autoPict="0">
                <anchor moveWithCells="1">
                  <from>
                    <xdr:col>4</xdr:col>
                    <xdr:colOff>9525</xdr:colOff>
                    <xdr:row>18</xdr:row>
                    <xdr:rowOff>152400</xdr:rowOff>
                  </from>
                  <to>
                    <xdr:col>4</xdr:col>
                    <xdr:colOff>276225</xdr:colOff>
                    <xdr:row>20</xdr:row>
                    <xdr:rowOff>0</xdr:rowOff>
                  </to>
                </anchor>
              </controlPr>
            </control>
          </mc:Choice>
        </mc:AlternateContent>
        <mc:AlternateContent xmlns:mc="http://schemas.openxmlformats.org/markup-compatibility/2006">
          <mc:Choice Requires="x14">
            <control shapeId="83976" r:id="rId8" name="Check Box 8">
              <controlPr locked="0" defaultSize="0" autoFill="0" autoLine="0" autoPict="0">
                <anchor moveWithCells="1">
                  <from>
                    <xdr:col>0</xdr:col>
                    <xdr:colOff>9525</xdr:colOff>
                    <xdr:row>18</xdr:row>
                    <xdr:rowOff>152400</xdr:rowOff>
                  </from>
                  <to>
                    <xdr:col>0</xdr:col>
                    <xdr:colOff>276225</xdr:colOff>
                    <xdr:row>20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theme="8" tint="0.79998168889431442"/>
    <pageSetUpPr fitToPage="1"/>
  </sheetPr>
  <dimension ref="A1:AD84"/>
  <sheetViews>
    <sheetView topLeftCell="A13" zoomScaleNormal="100" workbookViewId="0">
      <selection activeCell="D22" sqref="D22:F22"/>
    </sheetView>
  </sheetViews>
  <sheetFormatPr baseColWidth="10" defaultRowHeight="12.75"/>
  <cols>
    <col min="1" max="2" width="5.5703125" style="7" customWidth="1"/>
    <col min="3" max="3" width="7.7109375" style="12" customWidth="1"/>
    <col min="4" max="4" width="6.5703125" style="12" customWidth="1"/>
    <col min="5" max="5" width="5.7109375" style="12" customWidth="1"/>
    <col min="6" max="6" width="9.7109375" style="12" bestFit="1" customWidth="1"/>
    <col min="7" max="7" width="6.5703125" style="7" customWidth="1"/>
    <col min="8" max="8" width="5.7109375" style="7" customWidth="1"/>
    <col min="9" max="9" width="10.140625" style="7" bestFit="1" customWidth="1"/>
    <col min="10" max="10" width="6.5703125" style="13" customWidth="1"/>
    <col min="11" max="11" width="5.7109375" style="14" customWidth="1"/>
    <col min="12" max="12" width="9.7109375" style="7" bestFit="1" customWidth="1"/>
    <col min="13" max="13" width="6.5703125" style="7" customWidth="1"/>
    <col min="14" max="14" width="5.7109375" style="7" customWidth="1"/>
    <col min="15" max="15" width="9.7109375" style="7" customWidth="1"/>
    <col min="16" max="16" width="6.5703125" style="7" customWidth="1"/>
    <col min="17" max="17" width="5.7109375" style="7" customWidth="1"/>
    <col min="18" max="18" width="9.7109375" style="7" bestFit="1" customWidth="1"/>
    <col min="19" max="19" width="6.5703125" style="7" customWidth="1"/>
    <col min="20" max="20" width="5.7109375" style="7" customWidth="1"/>
    <col min="21" max="21" width="9.7109375" style="7" bestFit="1" customWidth="1"/>
    <col min="22" max="22" width="6.5703125" style="7" customWidth="1"/>
    <col min="23" max="23" width="5.7109375" style="7" customWidth="1"/>
    <col min="24" max="24" width="9.7109375" style="7" bestFit="1" customWidth="1"/>
    <col min="25" max="25" width="6.5703125" style="7" customWidth="1"/>
    <col min="26" max="26" width="5.7109375" style="7" customWidth="1"/>
    <col min="27" max="27" width="9.7109375" style="7" bestFit="1" customWidth="1"/>
    <col min="28" max="28" width="7" style="7" customWidth="1"/>
    <col min="29" max="16384" width="11.42578125" style="7"/>
  </cols>
  <sheetData>
    <row r="1" spans="1:30" ht="15" customHeight="1">
      <c r="A1" s="616" t="s">
        <v>140</v>
      </c>
      <c r="B1" s="616"/>
      <c r="C1" s="616"/>
      <c r="D1" s="616"/>
      <c r="E1" s="612" t="s">
        <v>201</v>
      </c>
      <c r="F1" s="612"/>
      <c r="G1" s="612"/>
      <c r="H1" s="612"/>
      <c r="I1" s="612"/>
      <c r="J1" s="612"/>
      <c r="K1" s="612"/>
      <c r="L1" s="612"/>
      <c r="M1" s="612"/>
      <c r="N1" s="612"/>
      <c r="O1" s="612"/>
      <c r="P1" s="612"/>
      <c r="Q1" s="612"/>
      <c r="R1" s="612"/>
      <c r="S1" s="612"/>
      <c r="T1" s="612"/>
      <c r="U1" s="612"/>
      <c r="V1" s="612"/>
      <c r="W1" s="612"/>
      <c r="X1" s="612"/>
      <c r="Y1" s="629" t="s">
        <v>567</v>
      </c>
      <c r="Z1" s="629"/>
      <c r="AA1" s="629"/>
      <c r="AB1" s="629"/>
    </row>
    <row r="2" spans="1:30" ht="15">
      <c r="A2" s="616"/>
      <c r="B2" s="616"/>
      <c r="C2" s="616"/>
      <c r="D2" s="616"/>
      <c r="E2" s="612" t="s">
        <v>655</v>
      </c>
      <c r="F2" s="612"/>
      <c r="G2" s="612"/>
      <c r="H2" s="612"/>
      <c r="I2" s="612"/>
      <c r="J2" s="612"/>
      <c r="K2" s="612"/>
      <c r="L2" s="612"/>
      <c r="M2" s="612"/>
      <c r="N2" s="612"/>
      <c r="O2" s="612"/>
      <c r="P2" s="612"/>
      <c r="Q2" s="612"/>
      <c r="R2" s="612"/>
      <c r="S2" s="612"/>
      <c r="T2" s="612"/>
      <c r="U2" s="612"/>
      <c r="V2" s="612"/>
      <c r="W2" s="612"/>
      <c r="X2" s="612"/>
      <c r="Y2" s="629" t="s">
        <v>1046</v>
      </c>
      <c r="Z2" s="629"/>
      <c r="AA2" s="629"/>
      <c r="AB2" s="629"/>
    </row>
    <row r="3" spans="1:30" ht="3" customHeight="1">
      <c r="A3" s="7" t="str">
        <f>CONCATENATE("Gemeinde ",'4_Anzeichnungsprotokoll'!P8,"Lokalname ")</f>
        <v xml:space="preserve">Gemeinde Lokalname </v>
      </c>
    </row>
    <row r="4" spans="1:30" s="4" customFormat="1" ht="15">
      <c r="A4" s="834" t="s">
        <v>286</v>
      </c>
      <c r="B4" s="834"/>
      <c r="C4" s="834"/>
      <c r="D4" s="792"/>
      <c r="E4" s="792"/>
      <c r="F4" s="792"/>
      <c r="G4" s="792"/>
      <c r="H4" s="792"/>
      <c r="I4" s="198"/>
      <c r="J4" s="198"/>
      <c r="K4" s="198"/>
      <c r="L4" s="198"/>
      <c r="M4" s="198"/>
      <c r="N4" s="198"/>
      <c r="O4" s="793"/>
      <c r="P4" s="793"/>
      <c r="Q4" s="793"/>
      <c r="R4" s="793"/>
      <c r="S4" s="793"/>
      <c r="T4" s="793"/>
      <c r="U4" s="793"/>
      <c r="V4" s="793"/>
      <c r="W4" s="793"/>
      <c r="X4" s="793"/>
      <c r="Y4" s="793"/>
      <c r="Z4" s="793"/>
      <c r="AA4" s="793"/>
      <c r="AB4" s="793"/>
    </row>
    <row r="5" spans="1:30" s="3" customFormat="1" ht="4.5" customHeight="1"/>
    <row r="6" spans="1:30" s="156" customFormat="1" ht="21" customHeight="1">
      <c r="A6" s="796" t="s">
        <v>656</v>
      </c>
      <c r="B6" s="797"/>
      <c r="C6" s="797"/>
      <c r="D6" s="797"/>
      <c r="E6" s="797"/>
      <c r="F6" s="797"/>
      <c r="G6" s="797"/>
      <c r="H6" s="797"/>
      <c r="I6" s="797"/>
      <c r="J6" s="797"/>
      <c r="K6" s="797"/>
      <c r="L6" s="797"/>
      <c r="M6" s="797" t="str">
        <f>IF(D23="","",D23)</f>
        <v/>
      </c>
      <c r="N6" s="797"/>
      <c r="O6" s="797"/>
      <c r="P6" s="797"/>
      <c r="Q6" s="797"/>
      <c r="R6" s="797"/>
      <c r="S6" s="797"/>
      <c r="T6" s="797"/>
      <c r="U6" s="797"/>
      <c r="V6" s="797"/>
      <c r="W6" s="799" t="s">
        <v>142</v>
      </c>
      <c r="X6" s="800"/>
      <c r="Y6" s="797"/>
      <c r="Z6" s="797"/>
      <c r="AA6" s="797"/>
      <c r="AB6" s="798"/>
    </row>
    <row r="7" spans="1:30" s="4" customFormat="1" ht="3.75" customHeight="1">
      <c r="C7" s="42" t="e">
        <f>MATCH(D8,#REF!,)</f>
        <v>#REF!</v>
      </c>
      <c r="D7" s="3"/>
      <c r="E7" s="3"/>
      <c r="F7" s="3"/>
      <c r="H7" s="3"/>
      <c r="I7" s="3"/>
      <c r="J7" s="3"/>
      <c r="K7" s="3"/>
      <c r="L7" s="3"/>
      <c r="M7" s="3"/>
      <c r="N7" s="5"/>
      <c r="O7" s="5"/>
    </row>
    <row r="8" spans="1:30" s="4" customFormat="1" ht="22.5" customHeight="1">
      <c r="A8" s="801" t="s">
        <v>260</v>
      </c>
      <c r="B8" s="801"/>
      <c r="C8" s="801"/>
      <c r="D8" s="831"/>
      <c r="E8" s="831"/>
      <c r="F8" s="801" t="s">
        <v>309</v>
      </c>
      <c r="G8" s="801"/>
      <c r="H8" s="831"/>
      <c r="I8" s="831"/>
      <c r="J8" s="831"/>
      <c r="K8" s="831"/>
      <c r="L8" s="831"/>
      <c r="M8" s="802" t="s">
        <v>259</v>
      </c>
      <c r="N8" s="802"/>
      <c r="O8" s="802"/>
      <c r="P8" s="846"/>
      <c r="Q8" s="846"/>
      <c r="R8" s="846"/>
      <c r="S8" s="846"/>
      <c r="T8" s="847" t="s">
        <v>1025</v>
      </c>
      <c r="U8" s="847"/>
      <c r="V8" s="847"/>
      <c r="W8" s="847"/>
      <c r="X8" s="795"/>
      <c r="Y8" s="795"/>
      <c r="Z8" s="795"/>
      <c r="AA8" s="795"/>
      <c r="AB8" s="795"/>
    </row>
    <row r="9" spans="1:30" s="4" customFormat="1" ht="6" customHeight="1">
      <c r="C9" s="39"/>
      <c r="D9" s="39"/>
      <c r="J9" s="24"/>
      <c r="K9" s="25"/>
      <c r="L9" s="803" t="e">
        <f>INDEX(#REF!,'4_Anzeichnungsprotokoll'!C7)</f>
        <v>#REF!</v>
      </c>
      <c r="M9" s="803"/>
      <c r="N9" s="803"/>
      <c r="O9" s="803"/>
      <c r="P9" s="803"/>
    </row>
    <row r="10" spans="1:30" s="4" customFormat="1" ht="14.25">
      <c r="A10" s="787" t="s">
        <v>255</v>
      </c>
      <c r="B10" s="787"/>
      <c r="C10" s="787"/>
      <c r="D10" s="787"/>
      <c r="E10" s="787"/>
      <c r="F10" s="787"/>
      <c r="G10" s="787"/>
      <c r="H10" s="787"/>
      <c r="I10" s="787"/>
      <c r="J10" s="787"/>
      <c r="K10" s="787"/>
      <c r="L10" s="787"/>
      <c r="M10" s="787"/>
      <c r="N10" s="787"/>
      <c r="O10" s="787" t="s">
        <v>42</v>
      </c>
      <c r="P10" s="787"/>
      <c r="Q10" s="787"/>
      <c r="R10" s="787"/>
      <c r="S10" s="787"/>
      <c r="T10" s="787"/>
      <c r="U10" s="787"/>
      <c r="V10" s="787"/>
      <c r="W10" s="787"/>
      <c r="X10" s="787"/>
      <c r="Y10" s="787"/>
      <c r="Z10" s="787"/>
      <c r="AA10" s="787"/>
      <c r="AB10" s="787"/>
    </row>
    <row r="11" spans="1:30" s="4" customFormat="1" ht="14.25">
      <c r="A11" s="787" t="s">
        <v>114</v>
      </c>
      <c r="B11" s="787"/>
      <c r="C11" s="794"/>
      <c r="D11" s="794"/>
      <c r="E11" s="794"/>
      <c r="F11" s="794"/>
      <c r="G11" s="794"/>
      <c r="H11" s="787" t="s">
        <v>116</v>
      </c>
      <c r="I11" s="787"/>
      <c r="J11" s="794"/>
      <c r="K11" s="794"/>
      <c r="L11" s="794"/>
      <c r="M11" s="794"/>
      <c r="N11" s="794"/>
      <c r="O11" s="787" t="s">
        <v>271</v>
      </c>
      <c r="P11" s="787"/>
      <c r="Q11" s="811"/>
      <c r="R11" s="811"/>
      <c r="S11" s="811"/>
      <c r="T11" s="811"/>
      <c r="U11" s="811"/>
      <c r="V11" s="787" t="s">
        <v>273</v>
      </c>
      <c r="W11" s="787"/>
      <c r="X11" s="804"/>
      <c r="Y11" s="804"/>
      <c r="Z11" s="804"/>
      <c r="AA11" s="804"/>
      <c r="AB11" s="804"/>
      <c r="AC11" s="176"/>
      <c r="AD11" s="176" t="s">
        <v>269</v>
      </c>
    </row>
    <row r="12" spans="1:30" s="4" customFormat="1" ht="14.25">
      <c r="A12" s="787" t="s">
        <v>115</v>
      </c>
      <c r="B12" s="787"/>
      <c r="C12" s="794"/>
      <c r="D12" s="794"/>
      <c r="E12" s="794"/>
      <c r="F12" s="794"/>
      <c r="G12" s="794"/>
      <c r="H12" s="787" t="s">
        <v>117</v>
      </c>
      <c r="I12" s="787"/>
      <c r="J12" s="794"/>
      <c r="K12" s="794"/>
      <c r="L12" s="794"/>
      <c r="M12" s="794"/>
      <c r="N12" s="794"/>
      <c r="O12" s="787" t="s">
        <v>272</v>
      </c>
      <c r="P12" s="787"/>
      <c r="Q12" s="811"/>
      <c r="R12" s="811"/>
      <c r="S12" s="811"/>
      <c r="T12" s="811"/>
      <c r="U12" s="811"/>
      <c r="V12" s="787" t="s">
        <v>274</v>
      </c>
      <c r="W12" s="787"/>
      <c r="X12" s="794"/>
      <c r="Y12" s="794"/>
      <c r="Z12" s="794"/>
      <c r="AA12" s="794"/>
      <c r="AB12" s="794"/>
      <c r="AC12" s="177"/>
      <c r="AD12" s="177"/>
    </row>
    <row r="13" spans="1:30" s="4" customFormat="1" ht="15" customHeight="1">
      <c r="A13" s="787" t="s">
        <v>44</v>
      </c>
      <c r="B13" s="787"/>
      <c r="C13" s="812"/>
      <c r="D13" s="813"/>
      <c r="E13" s="813"/>
      <c r="F13" s="813"/>
      <c r="G13" s="814"/>
      <c r="H13" s="787" t="s">
        <v>306</v>
      </c>
      <c r="I13" s="787"/>
      <c r="J13" s="815"/>
      <c r="K13" s="794"/>
      <c r="L13" s="794"/>
      <c r="M13" s="794"/>
      <c r="N13" s="794"/>
      <c r="O13" s="787" t="s">
        <v>44</v>
      </c>
      <c r="P13" s="787"/>
      <c r="Q13" s="816"/>
      <c r="R13" s="816"/>
      <c r="S13" s="816"/>
      <c r="T13" s="816"/>
      <c r="U13" s="816"/>
      <c r="V13" s="787" t="s">
        <v>306</v>
      </c>
      <c r="W13" s="787"/>
      <c r="X13" s="794"/>
      <c r="Y13" s="794"/>
      <c r="Z13" s="794"/>
      <c r="AA13" s="794"/>
      <c r="AB13" s="794"/>
      <c r="AC13" s="177"/>
      <c r="AD13" s="177"/>
    </row>
    <row r="14" spans="1:30" s="4" customFormat="1" ht="6" customHeight="1">
      <c r="D14" s="19"/>
      <c r="E14" s="832"/>
      <c r="F14" s="832"/>
      <c r="G14" s="832"/>
      <c r="H14" s="832"/>
      <c r="I14" s="832"/>
      <c r="J14" s="20"/>
      <c r="K14" s="5"/>
      <c r="L14" s="5"/>
      <c r="M14" s="5"/>
    </row>
    <row r="15" spans="1:30" s="4" customFormat="1" ht="18" customHeight="1">
      <c r="C15" s="5"/>
      <c r="D15" s="26" t="s">
        <v>118</v>
      </c>
      <c r="E15" s="27"/>
      <c r="F15" s="28">
        <v>3</v>
      </c>
      <c r="G15" s="38"/>
      <c r="H15" s="38"/>
      <c r="I15" s="29"/>
      <c r="J15" s="24"/>
      <c r="K15" s="25"/>
      <c r="L15" s="5"/>
      <c r="M15" s="5"/>
      <c r="N15" s="5"/>
      <c r="O15" s="5"/>
      <c r="P15" s="30"/>
    </row>
    <row r="16" spans="1:30" s="4" customFormat="1" ht="15" customHeight="1">
      <c r="A16" s="787" t="s">
        <v>43</v>
      </c>
      <c r="B16" s="787"/>
      <c r="C16" s="787"/>
      <c r="D16" s="833"/>
      <c r="E16" s="833"/>
      <c r="F16" s="833"/>
      <c r="G16" s="833"/>
      <c r="H16" s="833"/>
      <c r="I16" s="833"/>
      <c r="J16" s="819"/>
      <c r="K16" s="819"/>
      <c r="L16" s="819"/>
      <c r="M16" s="819"/>
      <c r="N16" s="819"/>
      <c r="O16" s="819"/>
      <c r="P16" s="819"/>
      <c r="Q16" s="819"/>
      <c r="R16" s="819"/>
      <c r="S16" s="819"/>
      <c r="T16" s="819"/>
      <c r="U16" s="819"/>
      <c r="V16" s="819"/>
      <c r="W16" s="819"/>
      <c r="X16" s="819"/>
      <c r="Y16" s="819"/>
      <c r="Z16" s="819"/>
      <c r="AA16" s="819"/>
      <c r="AB16" s="808" t="s">
        <v>122</v>
      </c>
    </row>
    <row r="17" spans="1:28" s="4" customFormat="1" ht="15" customHeight="1">
      <c r="A17" s="787" t="s">
        <v>694</v>
      </c>
      <c r="B17" s="787"/>
      <c r="C17" s="787"/>
      <c r="D17" s="788">
        <v>6</v>
      </c>
      <c r="E17" s="788"/>
      <c r="F17" s="788"/>
      <c r="G17" s="788">
        <v>6</v>
      </c>
      <c r="H17" s="788"/>
      <c r="I17" s="788"/>
      <c r="J17" s="788">
        <v>6</v>
      </c>
      <c r="K17" s="788"/>
      <c r="L17" s="788"/>
      <c r="M17" s="788">
        <v>6</v>
      </c>
      <c r="N17" s="788"/>
      <c r="O17" s="788"/>
      <c r="P17" s="788">
        <v>6</v>
      </c>
      <c r="Q17" s="788"/>
      <c r="R17" s="788"/>
      <c r="S17" s="788">
        <v>6</v>
      </c>
      <c r="T17" s="788"/>
      <c r="U17" s="788"/>
      <c r="V17" s="788">
        <v>6</v>
      </c>
      <c r="W17" s="788"/>
      <c r="X17" s="788"/>
      <c r="Y17" s="788">
        <v>6</v>
      </c>
      <c r="Z17" s="788"/>
      <c r="AA17" s="788"/>
      <c r="AB17" s="808"/>
    </row>
    <row r="18" spans="1:28" s="4" customFormat="1" ht="15" customHeight="1">
      <c r="A18" s="787" t="s">
        <v>661</v>
      </c>
      <c r="B18" s="787"/>
      <c r="C18" s="787"/>
      <c r="D18" s="788">
        <v>4</v>
      </c>
      <c r="E18" s="788"/>
      <c r="F18" s="788"/>
      <c r="G18" s="788">
        <v>4</v>
      </c>
      <c r="H18" s="788"/>
      <c r="I18" s="788"/>
      <c r="J18" s="788">
        <v>4</v>
      </c>
      <c r="K18" s="788"/>
      <c r="L18" s="788"/>
      <c r="M18" s="788">
        <v>4</v>
      </c>
      <c r="N18" s="788"/>
      <c r="O18" s="788"/>
      <c r="P18" s="788">
        <v>4</v>
      </c>
      <c r="Q18" s="788"/>
      <c r="R18" s="788"/>
      <c r="S18" s="788">
        <v>4</v>
      </c>
      <c r="T18" s="788"/>
      <c r="U18" s="788"/>
      <c r="V18" s="788">
        <v>4</v>
      </c>
      <c r="W18" s="788"/>
      <c r="X18" s="788"/>
      <c r="Y18" s="788">
        <v>4</v>
      </c>
      <c r="Z18" s="788"/>
      <c r="AA18" s="788"/>
      <c r="AB18" s="808"/>
    </row>
    <row r="19" spans="1:28" s="4" customFormat="1" ht="15" customHeight="1">
      <c r="A19" s="787" t="s">
        <v>657</v>
      </c>
      <c r="B19" s="787"/>
      <c r="C19" s="787"/>
      <c r="D19" s="788">
        <v>6</v>
      </c>
      <c r="E19" s="788"/>
      <c r="F19" s="788">
        <v>3</v>
      </c>
      <c r="G19" s="788">
        <v>6</v>
      </c>
      <c r="H19" s="788"/>
      <c r="I19" s="788"/>
      <c r="J19" s="788">
        <v>6</v>
      </c>
      <c r="K19" s="788"/>
      <c r="L19" s="788"/>
      <c r="M19" s="788">
        <v>6</v>
      </c>
      <c r="N19" s="788"/>
      <c r="O19" s="788"/>
      <c r="P19" s="788">
        <v>6</v>
      </c>
      <c r="Q19" s="788"/>
      <c r="R19" s="788"/>
      <c r="S19" s="788">
        <v>6</v>
      </c>
      <c r="T19" s="788"/>
      <c r="U19" s="788"/>
      <c r="V19" s="788">
        <v>6</v>
      </c>
      <c r="W19" s="788"/>
      <c r="X19" s="788"/>
      <c r="Y19" s="788">
        <v>6</v>
      </c>
      <c r="Z19" s="788"/>
      <c r="AA19" s="788"/>
      <c r="AB19" s="808"/>
    </row>
    <row r="20" spans="1:28" s="4" customFormat="1" ht="15" customHeight="1">
      <c r="A20" s="787" t="s">
        <v>113</v>
      </c>
      <c r="B20" s="787"/>
      <c r="C20" s="787"/>
      <c r="D20" s="836"/>
      <c r="E20" s="836"/>
      <c r="F20" s="836"/>
      <c r="G20" s="788"/>
      <c r="H20" s="788"/>
      <c r="I20" s="788"/>
      <c r="J20" s="788"/>
      <c r="K20" s="788"/>
      <c r="L20" s="788"/>
      <c r="M20" s="788"/>
      <c r="N20" s="788"/>
      <c r="O20" s="788"/>
      <c r="P20" s="788"/>
      <c r="Q20" s="788"/>
      <c r="R20" s="788"/>
      <c r="S20" s="788"/>
      <c r="T20" s="788"/>
      <c r="U20" s="788"/>
      <c r="V20" s="788"/>
      <c r="W20" s="788"/>
      <c r="X20" s="788"/>
      <c r="Y20" s="788"/>
      <c r="Z20" s="788"/>
      <c r="AA20" s="788"/>
      <c r="AB20" s="808"/>
    </row>
    <row r="21" spans="1:28" s="4" customFormat="1" ht="14.25" customHeight="1">
      <c r="A21" s="787" t="s">
        <v>285</v>
      </c>
      <c r="B21" s="787"/>
      <c r="C21" s="787"/>
      <c r="D21" s="820"/>
      <c r="E21" s="821"/>
      <c r="F21" s="191"/>
      <c r="G21" s="820"/>
      <c r="H21" s="821"/>
      <c r="I21" s="191"/>
      <c r="J21" s="820"/>
      <c r="K21" s="821"/>
      <c r="L21" s="191"/>
      <c r="M21" s="820"/>
      <c r="N21" s="821"/>
      <c r="O21" s="191"/>
      <c r="P21" s="820"/>
      <c r="Q21" s="821"/>
      <c r="R21" s="191"/>
      <c r="S21" s="820"/>
      <c r="T21" s="821"/>
      <c r="U21" s="191"/>
      <c r="V21" s="820"/>
      <c r="W21" s="821"/>
      <c r="X21" s="191"/>
      <c r="Y21" s="820"/>
      <c r="Z21" s="821"/>
      <c r="AA21" s="191"/>
      <c r="AB21" s="808"/>
    </row>
    <row r="22" spans="1:28" s="4" customFormat="1" ht="14.25" customHeight="1">
      <c r="A22" s="787" t="s">
        <v>119</v>
      </c>
      <c r="B22" s="787"/>
      <c r="C22" s="787"/>
      <c r="D22" s="810"/>
      <c r="E22" s="810"/>
      <c r="F22" s="810"/>
      <c r="G22" s="790"/>
      <c r="H22" s="790"/>
      <c r="I22" s="790"/>
      <c r="J22" s="790"/>
      <c r="K22" s="790"/>
      <c r="L22" s="790"/>
      <c r="M22" s="790"/>
      <c r="N22" s="790"/>
      <c r="O22" s="790"/>
      <c r="P22" s="790"/>
      <c r="Q22" s="790"/>
      <c r="R22" s="790"/>
      <c r="S22" s="790"/>
      <c r="T22" s="790"/>
      <c r="U22" s="790"/>
      <c r="V22" s="790"/>
      <c r="W22" s="790"/>
      <c r="X22" s="790"/>
      <c r="Y22" s="790"/>
      <c r="Z22" s="790"/>
      <c r="AA22" s="790"/>
      <c r="AB22" s="808"/>
    </row>
    <row r="23" spans="1:28" s="4" customFormat="1" ht="14.25" customHeight="1">
      <c r="A23" s="787" t="s">
        <v>258</v>
      </c>
      <c r="B23" s="787"/>
      <c r="C23" s="787"/>
      <c r="D23" s="810"/>
      <c r="E23" s="810"/>
      <c r="F23" s="810"/>
      <c r="G23" s="790"/>
      <c r="H23" s="790"/>
      <c r="I23" s="790"/>
      <c r="J23" s="790"/>
      <c r="K23" s="790"/>
      <c r="L23" s="790"/>
      <c r="M23" s="790"/>
      <c r="N23" s="790"/>
      <c r="O23" s="790"/>
      <c r="P23" s="790"/>
      <c r="Q23" s="790"/>
      <c r="R23" s="790"/>
      <c r="S23" s="790"/>
      <c r="T23" s="790"/>
      <c r="U23" s="790"/>
      <c r="V23" s="790"/>
      <c r="W23" s="790"/>
      <c r="X23" s="790"/>
      <c r="Y23" s="790"/>
      <c r="Z23" s="790"/>
      <c r="AA23" s="790"/>
      <c r="AB23" s="808"/>
    </row>
    <row r="24" spans="1:28" s="4" customFormat="1" ht="15" customHeight="1">
      <c r="A24" s="787" t="s">
        <v>112</v>
      </c>
      <c r="B24" s="787"/>
      <c r="C24" s="787"/>
      <c r="D24" s="810"/>
      <c r="E24" s="810"/>
      <c r="F24" s="810"/>
      <c r="G24" s="790"/>
      <c r="H24" s="790"/>
      <c r="I24" s="790"/>
      <c r="J24" s="790"/>
      <c r="K24" s="790"/>
      <c r="L24" s="790"/>
      <c r="M24" s="790"/>
      <c r="N24" s="790"/>
      <c r="O24" s="790"/>
      <c r="P24" s="790"/>
      <c r="Q24" s="790"/>
      <c r="R24" s="790"/>
      <c r="S24" s="790"/>
      <c r="T24" s="790"/>
      <c r="U24" s="790"/>
      <c r="V24" s="790"/>
      <c r="W24" s="790"/>
      <c r="X24" s="790"/>
      <c r="Y24" s="790"/>
      <c r="Z24" s="790"/>
      <c r="AA24" s="790"/>
      <c r="AB24" s="809"/>
    </row>
    <row r="25" spans="1:28" ht="12" customHeight="1">
      <c r="A25" s="31" t="s">
        <v>29</v>
      </c>
      <c r="B25" s="791" t="s">
        <v>3</v>
      </c>
      <c r="C25" s="791"/>
      <c r="D25" s="32" t="s">
        <v>2</v>
      </c>
      <c r="E25" s="31" t="s">
        <v>28</v>
      </c>
      <c r="F25" s="31" t="s">
        <v>39</v>
      </c>
      <c r="G25" s="32" t="s">
        <v>2</v>
      </c>
      <c r="H25" s="31" t="s">
        <v>28</v>
      </c>
      <c r="I25" s="31" t="s">
        <v>39</v>
      </c>
      <c r="J25" s="32" t="s">
        <v>2</v>
      </c>
      <c r="K25" s="31" t="s">
        <v>28</v>
      </c>
      <c r="L25" s="31" t="s">
        <v>39</v>
      </c>
      <c r="M25" s="32" t="s">
        <v>2</v>
      </c>
      <c r="N25" s="31" t="s">
        <v>28</v>
      </c>
      <c r="O25" s="31" t="s">
        <v>39</v>
      </c>
      <c r="P25" s="32" t="s">
        <v>2</v>
      </c>
      <c r="Q25" s="31" t="s">
        <v>28</v>
      </c>
      <c r="R25" s="31" t="s">
        <v>39</v>
      </c>
      <c r="S25" s="32" t="s">
        <v>2</v>
      </c>
      <c r="T25" s="31" t="s">
        <v>28</v>
      </c>
      <c r="U25" s="31" t="s">
        <v>39</v>
      </c>
      <c r="V25" s="32" t="s">
        <v>2</v>
      </c>
      <c r="W25" s="31" t="s">
        <v>28</v>
      </c>
      <c r="X25" s="31" t="s">
        <v>39</v>
      </c>
      <c r="Y25" s="32" t="s">
        <v>2</v>
      </c>
      <c r="Z25" s="31" t="s">
        <v>28</v>
      </c>
      <c r="AA25" s="31" t="s">
        <v>39</v>
      </c>
      <c r="AB25" s="194" t="s">
        <v>3</v>
      </c>
    </row>
    <row r="26" spans="1:28">
      <c r="A26" s="31">
        <v>1</v>
      </c>
      <c r="B26" s="791" t="s">
        <v>67</v>
      </c>
      <c r="C26" s="791"/>
      <c r="D26" s="50"/>
      <c r="E26" s="190">
        <f>INDEX('10_Tariftabelle'!$C$6:$AG$27,'4_Anzeichnungsprotokoll'!$A26,'4_Anzeichnungsprotokoll'!$F$15)</f>
        <v>0.25</v>
      </c>
      <c r="F26" s="33" t="str">
        <f>IF(D26="","",D26*E26)</f>
        <v/>
      </c>
      <c r="G26" s="50"/>
      <c r="H26" s="190">
        <f>INDEX('10_Tariftabelle'!$C$6:$AG$27,'4_Anzeichnungsprotokoll'!$A26,'4_Anzeichnungsprotokoll'!$F$15)</f>
        <v>0.25</v>
      </c>
      <c r="I26" s="33" t="str">
        <f>IF(G26="","",G26*H26)</f>
        <v/>
      </c>
      <c r="J26" s="50"/>
      <c r="K26" s="190">
        <f>INDEX('10_Tariftabelle'!$C$6:$AG$27,'4_Anzeichnungsprotokoll'!$A26,'4_Anzeichnungsprotokoll'!$F$15)</f>
        <v>0.25</v>
      </c>
      <c r="L26" s="33" t="str">
        <f>IF(J26="","",J26*K26)</f>
        <v/>
      </c>
      <c r="M26" s="50"/>
      <c r="N26" s="190">
        <f>INDEX('10_Tariftabelle'!$C$6:$AG$27,'4_Anzeichnungsprotokoll'!$A26,'4_Anzeichnungsprotokoll'!$F$15)</f>
        <v>0.25</v>
      </c>
      <c r="O26" s="33" t="str">
        <f>IF(M26="","",M26*N26)</f>
        <v/>
      </c>
      <c r="P26" s="50"/>
      <c r="Q26" s="190">
        <f>INDEX('10_Tariftabelle'!$C$6:$AG$27,'4_Anzeichnungsprotokoll'!$A26,'4_Anzeichnungsprotokoll'!$F$15)</f>
        <v>0.25</v>
      </c>
      <c r="R26" s="33" t="str">
        <f>IF(P26="","",P26*Q26)</f>
        <v/>
      </c>
      <c r="S26" s="50"/>
      <c r="T26" s="190">
        <f>INDEX('10_Tariftabelle'!$C$6:$AG$27,'4_Anzeichnungsprotokoll'!$A26,'4_Anzeichnungsprotokoll'!$F$15)</f>
        <v>0.25</v>
      </c>
      <c r="U26" s="33" t="str">
        <f>IF(S26="","",S26*T26)</f>
        <v/>
      </c>
      <c r="V26" s="50"/>
      <c r="W26" s="190">
        <f>INDEX('10_Tariftabelle'!$C$6:$AG$27,'4_Anzeichnungsprotokoll'!$A26,'4_Anzeichnungsprotokoll'!$F$15)</f>
        <v>0.25</v>
      </c>
      <c r="X26" s="33" t="str">
        <f>IF(V26="","",V26*W26)</f>
        <v/>
      </c>
      <c r="Y26" s="50"/>
      <c r="Z26" s="190">
        <f>INDEX('10_Tariftabelle'!$C$6:$AG$27,'4_Anzeichnungsprotokoll'!$A26,'4_Anzeichnungsprotokoll'!$F$15)</f>
        <v>0.25</v>
      </c>
      <c r="AA26" s="33" t="str">
        <f>IF(Y26="","",Y26*Z26)</f>
        <v/>
      </c>
      <c r="AB26" s="195">
        <v>18</v>
      </c>
    </row>
    <row r="27" spans="1:28">
      <c r="A27" s="31">
        <v>2</v>
      </c>
      <c r="B27" s="791" t="s">
        <v>68</v>
      </c>
      <c r="C27" s="791"/>
      <c r="D27" s="51"/>
      <c r="E27" s="190">
        <f>INDEX('10_Tariftabelle'!$C$6:$AG$27,'4_Anzeichnungsprotokoll'!$A27,'4_Anzeichnungsprotokoll'!$F$15)</f>
        <v>0.4</v>
      </c>
      <c r="F27" s="33" t="str">
        <f t="shared" ref="F27:F47" si="0">IF(D27="","",D27*E27)</f>
        <v/>
      </c>
      <c r="G27" s="51"/>
      <c r="H27" s="190">
        <f>INDEX('10_Tariftabelle'!$C$6:$AG$27,'4_Anzeichnungsprotokoll'!$A27,'4_Anzeichnungsprotokoll'!$F$15)</f>
        <v>0.4</v>
      </c>
      <c r="I27" s="33" t="str">
        <f t="shared" ref="I27:I47" si="1">IF(G27="","",G27*H27)</f>
        <v/>
      </c>
      <c r="J27" s="51"/>
      <c r="K27" s="190">
        <f>INDEX('10_Tariftabelle'!$C$6:$AG$27,'4_Anzeichnungsprotokoll'!$A27,'4_Anzeichnungsprotokoll'!$F$15)</f>
        <v>0.4</v>
      </c>
      <c r="L27" s="33" t="str">
        <f t="shared" ref="L27:L47" si="2">IF(J27="","",J27*K27)</f>
        <v/>
      </c>
      <c r="M27" s="51"/>
      <c r="N27" s="190">
        <f>INDEX('10_Tariftabelle'!$C$6:$AG$27,'4_Anzeichnungsprotokoll'!$A27,'4_Anzeichnungsprotokoll'!$F$15)</f>
        <v>0.4</v>
      </c>
      <c r="O27" s="33" t="str">
        <f t="shared" ref="O27:O47" si="3">IF(M27="","",M27*N27)</f>
        <v/>
      </c>
      <c r="P27" s="51"/>
      <c r="Q27" s="190">
        <f>INDEX('10_Tariftabelle'!$C$6:$AG$27,'4_Anzeichnungsprotokoll'!$A27,'4_Anzeichnungsprotokoll'!$F$15)</f>
        <v>0.4</v>
      </c>
      <c r="R27" s="33" t="str">
        <f t="shared" ref="R27:R47" si="4">IF(P27="","",P27*Q27)</f>
        <v/>
      </c>
      <c r="S27" s="51"/>
      <c r="T27" s="190">
        <f>INDEX('10_Tariftabelle'!$C$6:$AG$27,'4_Anzeichnungsprotokoll'!$A27,'4_Anzeichnungsprotokoll'!$F$15)</f>
        <v>0.4</v>
      </c>
      <c r="U27" s="33" t="str">
        <f t="shared" ref="U27:U47" si="5">IF(S27="","",S27*T27)</f>
        <v/>
      </c>
      <c r="V27" s="51"/>
      <c r="W27" s="190">
        <f>INDEX('10_Tariftabelle'!$C$6:$AG$27,'4_Anzeichnungsprotokoll'!$A27,'4_Anzeichnungsprotokoll'!$F$15)</f>
        <v>0.4</v>
      </c>
      <c r="X27" s="33" t="str">
        <f t="shared" ref="X27:X47" si="6">IF(V27="","",V27*W27)</f>
        <v/>
      </c>
      <c r="Y27" s="51"/>
      <c r="Z27" s="190">
        <f>INDEX('10_Tariftabelle'!$C$6:$AG$27,'4_Anzeichnungsprotokoll'!$A27,'4_Anzeichnungsprotokoll'!$F$15)</f>
        <v>0.4</v>
      </c>
      <c r="AA27" s="33" t="str">
        <f t="shared" ref="AA27:AA47" si="7">IF(Y27="","",Y27*Z27)</f>
        <v/>
      </c>
      <c r="AB27" s="194">
        <v>22</v>
      </c>
    </row>
    <row r="28" spans="1:28">
      <c r="A28" s="31">
        <v>3</v>
      </c>
      <c r="B28" s="791" t="s">
        <v>69</v>
      </c>
      <c r="C28" s="791"/>
      <c r="D28" s="51"/>
      <c r="E28" s="190">
        <f>INDEX('10_Tariftabelle'!$C$6:$AG$27,'4_Anzeichnungsprotokoll'!$A28,'4_Anzeichnungsprotokoll'!$F$15)</f>
        <v>0.6</v>
      </c>
      <c r="F28" s="33" t="str">
        <f t="shared" si="0"/>
        <v/>
      </c>
      <c r="G28" s="51"/>
      <c r="H28" s="190">
        <f>INDEX('10_Tariftabelle'!$C$6:$AG$27,'4_Anzeichnungsprotokoll'!$A28,'4_Anzeichnungsprotokoll'!$F$15)</f>
        <v>0.6</v>
      </c>
      <c r="I28" s="33" t="str">
        <f t="shared" si="1"/>
        <v/>
      </c>
      <c r="J28" s="51"/>
      <c r="K28" s="190">
        <f>INDEX('10_Tariftabelle'!$C$6:$AG$27,'4_Anzeichnungsprotokoll'!$A28,'4_Anzeichnungsprotokoll'!$F$15)</f>
        <v>0.6</v>
      </c>
      <c r="L28" s="33" t="str">
        <f t="shared" si="2"/>
        <v/>
      </c>
      <c r="M28" s="51"/>
      <c r="N28" s="190">
        <f>INDEX('10_Tariftabelle'!$C$6:$AG$27,'4_Anzeichnungsprotokoll'!$A28,'4_Anzeichnungsprotokoll'!$F$15)</f>
        <v>0.6</v>
      </c>
      <c r="O28" s="33" t="str">
        <f t="shared" si="3"/>
        <v/>
      </c>
      <c r="P28" s="51"/>
      <c r="Q28" s="190">
        <f>INDEX('10_Tariftabelle'!$C$6:$AG$27,'4_Anzeichnungsprotokoll'!$A28,'4_Anzeichnungsprotokoll'!$F$15)</f>
        <v>0.6</v>
      </c>
      <c r="R28" s="33" t="str">
        <f t="shared" si="4"/>
        <v/>
      </c>
      <c r="S28" s="51"/>
      <c r="T28" s="190">
        <f>INDEX('10_Tariftabelle'!$C$6:$AG$27,'4_Anzeichnungsprotokoll'!$A28,'4_Anzeichnungsprotokoll'!$F$15)</f>
        <v>0.6</v>
      </c>
      <c r="U28" s="33" t="str">
        <f t="shared" si="5"/>
        <v/>
      </c>
      <c r="V28" s="51"/>
      <c r="W28" s="190">
        <f>INDEX('10_Tariftabelle'!$C$6:$AG$27,'4_Anzeichnungsprotokoll'!$A28,'4_Anzeichnungsprotokoll'!$F$15)</f>
        <v>0.6</v>
      </c>
      <c r="X28" s="33" t="str">
        <f t="shared" si="6"/>
        <v/>
      </c>
      <c r="Y28" s="51"/>
      <c r="Z28" s="190">
        <f>INDEX('10_Tariftabelle'!$C$6:$AG$27,'4_Anzeichnungsprotokoll'!$A28,'4_Anzeichnungsprotokoll'!$F$15)</f>
        <v>0.6</v>
      </c>
      <c r="AA28" s="33" t="str">
        <f t="shared" si="7"/>
        <v/>
      </c>
      <c r="AB28" s="194">
        <v>26</v>
      </c>
    </row>
    <row r="29" spans="1:28">
      <c r="A29" s="31">
        <v>4</v>
      </c>
      <c r="B29" s="791" t="s">
        <v>70</v>
      </c>
      <c r="C29" s="791"/>
      <c r="D29" s="51"/>
      <c r="E29" s="190">
        <f>INDEX('10_Tariftabelle'!$C$6:$AG$27,'4_Anzeichnungsprotokoll'!$A29,'4_Anzeichnungsprotokoll'!$F$15)</f>
        <v>0.85</v>
      </c>
      <c r="F29" s="33" t="str">
        <f t="shared" si="0"/>
        <v/>
      </c>
      <c r="G29" s="51"/>
      <c r="H29" s="190">
        <f>INDEX('10_Tariftabelle'!$C$6:$AG$27,'4_Anzeichnungsprotokoll'!$A29,'4_Anzeichnungsprotokoll'!$F$15)</f>
        <v>0.85</v>
      </c>
      <c r="I29" s="33" t="str">
        <f t="shared" si="1"/>
        <v/>
      </c>
      <c r="J29" s="51"/>
      <c r="K29" s="190">
        <f>INDEX('10_Tariftabelle'!$C$6:$AG$27,'4_Anzeichnungsprotokoll'!$A29,'4_Anzeichnungsprotokoll'!$F$15)</f>
        <v>0.85</v>
      </c>
      <c r="L29" s="33" t="str">
        <f t="shared" si="2"/>
        <v/>
      </c>
      <c r="M29" s="51"/>
      <c r="N29" s="190">
        <f>INDEX('10_Tariftabelle'!$C$6:$AG$27,'4_Anzeichnungsprotokoll'!$A29,'4_Anzeichnungsprotokoll'!$F$15)</f>
        <v>0.85</v>
      </c>
      <c r="O29" s="33" t="str">
        <f t="shared" si="3"/>
        <v/>
      </c>
      <c r="P29" s="51"/>
      <c r="Q29" s="190">
        <f>INDEX('10_Tariftabelle'!$C$6:$AG$27,'4_Anzeichnungsprotokoll'!$A29,'4_Anzeichnungsprotokoll'!$F$15)</f>
        <v>0.85</v>
      </c>
      <c r="R29" s="33" t="str">
        <f t="shared" si="4"/>
        <v/>
      </c>
      <c r="S29" s="51"/>
      <c r="T29" s="190">
        <f>INDEX('10_Tariftabelle'!$C$6:$AG$27,'4_Anzeichnungsprotokoll'!$A29,'4_Anzeichnungsprotokoll'!$F$15)</f>
        <v>0.85</v>
      </c>
      <c r="U29" s="33" t="str">
        <f t="shared" si="5"/>
        <v/>
      </c>
      <c r="V29" s="51"/>
      <c r="W29" s="190">
        <f>INDEX('10_Tariftabelle'!$C$6:$AG$27,'4_Anzeichnungsprotokoll'!$A29,'4_Anzeichnungsprotokoll'!$F$15)</f>
        <v>0.85</v>
      </c>
      <c r="X29" s="33" t="str">
        <f t="shared" si="6"/>
        <v/>
      </c>
      <c r="Y29" s="51"/>
      <c r="Z29" s="190">
        <f>INDEX('10_Tariftabelle'!$C$6:$AG$27,'4_Anzeichnungsprotokoll'!$A29,'4_Anzeichnungsprotokoll'!$F$15)</f>
        <v>0.85</v>
      </c>
      <c r="AA29" s="33" t="str">
        <f t="shared" si="7"/>
        <v/>
      </c>
      <c r="AB29" s="194">
        <v>30</v>
      </c>
    </row>
    <row r="30" spans="1:28">
      <c r="A30" s="31">
        <v>5</v>
      </c>
      <c r="B30" s="791" t="s">
        <v>71</v>
      </c>
      <c r="C30" s="791"/>
      <c r="D30" s="51"/>
      <c r="E30" s="190">
        <f>INDEX('10_Tariftabelle'!$C$6:$AG$27,'4_Anzeichnungsprotokoll'!$A30,'4_Anzeichnungsprotokoll'!$F$15)</f>
        <v>1.1499999999999999</v>
      </c>
      <c r="F30" s="33" t="str">
        <f t="shared" si="0"/>
        <v/>
      </c>
      <c r="G30" s="51"/>
      <c r="H30" s="190">
        <f>INDEX('10_Tariftabelle'!$C$6:$AG$27,'4_Anzeichnungsprotokoll'!$A30,'4_Anzeichnungsprotokoll'!$F$15)</f>
        <v>1.1499999999999999</v>
      </c>
      <c r="I30" s="33" t="str">
        <f t="shared" si="1"/>
        <v/>
      </c>
      <c r="J30" s="51"/>
      <c r="K30" s="190">
        <f>INDEX('10_Tariftabelle'!$C$6:$AG$27,'4_Anzeichnungsprotokoll'!$A30,'4_Anzeichnungsprotokoll'!$F$15)</f>
        <v>1.1499999999999999</v>
      </c>
      <c r="L30" s="33" t="str">
        <f t="shared" si="2"/>
        <v/>
      </c>
      <c r="M30" s="51"/>
      <c r="N30" s="190">
        <f>INDEX('10_Tariftabelle'!$C$6:$AG$27,'4_Anzeichnungsprotokoll'!$A30,'4_Anzeichnungsprotokoll'!$F$15)</f>
        <v>1.1499999999999999</v>
      </c>
      <c r="O30" s="33" t="str">
        <f t="shared" si="3"/>
        <v/>
      </c>
      <c r="P30" s="51"/>
      <c r="Q30" s="190">
        <f>INDEX('10_Tariftabelle'!$C$6:$AG$27,'4_Anzeichnungsprotokoll'!$A30,'4_Anzeichnungsprotokoll'!$F$15)</f>
        <v>1.1499999999999999</v>
      </c>
      <c r="R30" s="33" t="str">
        <f t="shared" si="4"/>
        <v/>
      </c>
      <c r="S30" s="51"/>
      <c r="T30" s="190">
        <f>INDEX('10_Tariftabelle'!$C$6:$AG$27,'4_Anzeichnungsprotokoll'!$A30,'4_Anzeichnungsprotokoll'!$F$15)</f>
        <v>1.1499999999999999</v>
      </c>
      <c r="U30" s="33" t="str">
        <f t="shared" si="5"/>
        <v/>
      </c>
      <c r="V30" s="51"/>
      <c r="W30" s="190">
        <f>INDEX('10_Tariftabelle'!$C$6:$AG$27,'4_Anzeichnungsprotokoll'!$A30,'4_Anzeichnungsprotokoll'!$F$15)</f>
        <v>1.1499999999999999</v>
      </c>
      <c r="X30" s="33" t="str">
        <f t="shared" si="6"/>
        <v/>
      </c>
      <c r="Y30" s="51"/>
      <c r="Z30" s="190">
        <f>INDEX('10_Tariftabelle'!$C$6:$AG$27,'4_Anzeichnungsprotokoll'!$A30,'4_Anzeichnungsprotokoll'!$F$15)</f>
        <v>1.1499999999999999</v>
      </c>
      <c r="AA30" s="33" t="str">
        <f t="shared" si="7"/>
        <v/>
      </c>
      <c r="AB30" s="194">
        <v>34</v>
      </c>
    </row>
    <row r="31" spans="1:28">
      <c r="A31" s="31">
        <v>6</v>
      </c>
      <c r="B31" s="791" t="s">
        <v>72</v>
      </c>
      <c r="C31" s="791"/>
      <c r="D31" s="51"/>
      <c r="E31" s="190">
        <f>INDEX('10_Tariftabelle'!$C$6:$AG$27,'4_Anzeichnungsprotokoll'!$A31,'4_Anzeichnungsprotokoll'!$F$15)</f>
        <v>1.45</v>
      </c>
      <c r="F31" s="33" t="str">
        <f t="shared" si="0"/>
        <v/>
      </c>
      <c r="G31" s="51"/>
      <c r="H31" s="190">
        <f>INDEX('10_Tariftabelle'!$C$6:$AG$27,'4_Anzeichnungsprotokoll'!$A31,'4_Anzeichnungsprotokoll'!$F$15)</f>
        <v>1.45</v>
      </c>
      <c r="I31" s="33" t="str">
        <f t="shared" si="1"/>
        <v/>
      </c>
      <c r="J31" s="51"/>
      <c r="K31" s="190">
        <f>INDEX('10_Tariftabelle'!$C$6:$AG$27,'4_Anzeichnungsprotokoll'!$A31,'4_Anzeichnungsprotokoll'!$F$15)</f>
        <v>1.45</v>
      </c>
      <c r="L31" s="33" t="str">
        <f t="shared" si="2"/>
        <v/>
      </c>
      <c r="M31" s="51"/>
      <c r="N31" s="190">
        <f>INDEX('10_Tariftabelle'!$C$6:$AG$27,'4_Anzeichnungsprotokoll'!$A31,'4_Anzeichnungsprotokoll'!$F$15)</f>
        <v>1.45</v>
      </c>
      <c r="O31" s="33" t="str">
        <f t="shared" si="3"/>
        <v/>
      </c>
      <c r="P31" s="51"/>
      <c r="Q31" s="190">
        <f>INDEX('10_Tariftabelle'!$C$6:$AG$27,'4_Anzeichnungsprotokoll'!$A31,'4_Anzeichnungsprotokoll'!$F$15)</f>
        <v>1.45</v>
      </c>
      <c r="R31" s="33" t="str">
        <f t="shared" si="4"/>
        <v/>
      </c>
      <c r="S31" s="51"/>
      <c r="T31" s="190">
        <f>INDEX('10_Tariftabelle'!$C$6:$AG$27,'4_Anzeichnungsprotokoll'!$A31,'4_Anzeichnungsprotokoll'!$F$15)</f>
        <v>1.45</v>
      </c>
      <c r="U31" s="33" t="str">
        <f t="shared" si="5"/>
        <v/>
      </c>
      <c r="V31" s="51"/>
      <c r="W31" s="190">
        <f>INDEX('10_Tariftabelle'!$C$6:$AG$27,'4_Anzeichnungsprotokoll'!$A31,'4_Anzeichnungsprotokoll'!$F$15)</f>
        <v>1.45</v>
      </c>
      <c r="X31" s="33" t="str">
        <f t="shared" si="6"/>
        <v/>
      </c>
      <c r="Y31" s="51"/>
      <c r="Z31" s="190">
        <f>INDEX('10_Tariftabelle'!$C$6:$AG$27,'4_Anzeichnungsprotokoll'!$A31,'4_Anzeichnungsprotokoll'!$F$15)</f>
        <v>1.45</v>
      </c>
      <c r="AA31" s="33" t="str">
        <f t="shared" si="7"/>
        <v/>
      </c>
      <c r="AB31" s="194">
        <v>38</v>
      </c>
    </row>
    <row r="32" spans="1:28">
      <c r="A32" s="31">
        <v>7</v>
      </c>
      <c r="B32" s="791" t="s">
        <v>73</v>
      </c>
      <c r="C32" s="791"/>
      <c r="D32" s="51"/>
      <c r="E32" s="190">
        <f>INDEX('10_Tariftabelle'!$C$6:$AG$27,'4_Anzeichnungsprotokoll'!$A32,'4_Anzeichnungsprotokoll'!$F$15)</f>
        <v>1.8</v>
      </c>
      <c r="F32" s="33" t="str">
        <f t="shared" si="0"/>
        <v/>
      </c>
      <c r="G32" s="51"/>
      <c r="H32" s="190">
        <f>INDEX('10_Tariftabelle'!$C$6:$AG$27,'4_Anzeichnungsprotokoll'!$A32,'4_Anzeichnungsprotokoll'!$F$15)</f>
        <v>1.8</v>
      </c>
      <c r="I32" s="33" t="str">
        <f t="shared" si="1"/>
        <v/>
      </c>
      <c r="J32" s="51"/>
      <c r="K32" s="190">
        <f>INDEX('10_Tariftabelle'!$C$6:$AG$27,'4_Anzeichnungsprotokoll'!$A32,'4_Anzeichnungsprotokoll'!$F$15)</f>
        <v>1.8</v>
      </c>
      <c r="L32" s="33" t="str">
        <f t="shared" si="2"/>
        <v/>
      </c>
      <c r="M32" s="51"/>
      <c r="N32" s="190">
        <f>INDEX('10_Tariftabelle'!$C$6:$AG$27,'4_Anzeichnungsprotokoll'!$A32,'4_Anzeichnungsprotokoll'!$F$15)</f>
        <v>1.8</v>
      </c>
      <c r="O32" s="33" t="str">
        <f t="shared" si="3"/>
        <v/>
      </c>
      <c r="P32" s="51"/>
      <c r="Q32" s="190">
        <f>INDEX('10_Tariftabelle'!$C$6:$AG$27,'4_Anzeichnungsprotokoll'!$A32,'4_Anzeichnungsprotokoll'!$F$15)</f>
        <v>1.8</v>
      </c>
      <c r="R32" s="33" t="str">
        <f t="shared" si="4"/>
        <v/>
      </c>
      <c r="S32" s="51"/>
      <c r="T32" s="190">
        <f>INDEX('10_Tariftabelle'!$C$6:$AG$27,'4_Anzeichnungsprotokoll'!$A32,'4_Anzeichnungsprotokoll'!$F$15)</f>
        <v>1.8</v>
      </c>
      <c r="U32" s="33" t="str">
        <f t="shared" si="5"/>
        <v/>
      </c>
      <c r="V32" s="51"/>
      <c r="W32" s="190">
        <f>INDEX('10_Tariftabelle'!$C$6:$AG$27,'4_Anzeichnungsprotokoll'!$A32,'4_Anzeichnungsprotokoll'!$F$15)</f>
        <v>1.8</v>
      </c>
      <c r="X32" s="33" t="str">
        <f t="shared" si="6"/>
        <v/>
      </c>
      <c r="Y32" s="51"/>
      <c r="Z32" s="190">
        <f>INDEX('10_Tariftabelle'!$C$6:$AG$27,'4_Anzeichnungsprotokoll'!$A32,'4_Anzeichnungsprotokoll'!$F$15)</f>
        <v>1.8</v>
      </c>
      <c r="AA32" s="33" t="str">
        <f t="shared" si="7"/>
        <v/>
      </c>
      <c r="AB32" s="194">
        <v>42</v>
      </c>
    </row>
    <row r="33" spans="1:28">
      <c r="A33" s="31">
        <v>8</v>
      </c>
      <c r="B33" s="791" t="s">
        <v>74</v>
      </c>
      <c r="C33" s="791"/>
      <c r="D33" s="51"/>
      <c r="E33" s="190">
        <f>INDEX('10_Tariftabelle'!$C$6:$AG$27,'4_Anzeichnungsprotokoll'!$A33,'4_Anzeichnungsprotokoll'!$F$15)</f>
        <v>2.2000000000000002</v>
      </c>
      <c r="F33" s="33" t="str">
        <f t="shared" si="0"/>
        <v/>
      </c>
      <c r="G33" s="51"/>
      <c r="H33" s="190">
        <f>INDEX('10_Tariftabelle'!$C$6:$AG$27,'4_Anzeichnungsprotokoll'!$A33,'4_Anzeichnungsprotokoll'!$F$15)</f>
        <v>2.2000000000000002</v>
      </c>
      <c r="I33" s="33" t="str">
        <f t="shared" si="1"/>
        <v/>
      </c>
      <c r="J33" s="51"/>
      <c r="K33" s="190">
        <f>INDEX('10_Tariftabelle'!$C$6:$AG$27,'4_Anzeichnungsprotokoll'!$A33,'4_Anzeichnungsprotokoll'!$F$15)</f>
        <v>2.2000000000000002</v>
      </c>
      <c r="L33" s="33" t="str">
        <f t="shared" si="2"/>
        <v/>
      </c>
      <c r="M33" s="51"/>
      <c r="N33" s="190">
        <f>INDEX('10_Tariftabelle'!$C$6:$AG$27,'4_Anzeichnungsprotokoll'!$A33,'4_Anzeichnungsprotokoll'!$F$15)</f>
        <v>2.2000000000000002</v>
      </c>
      <c r="O33" s="33" t="str">
        <f t="shared" si="3"/>
        <v/>
      </c>
      <c r="P33" s="51"/>
      <c r="Q33" s="190">
        <f>INDEX('10_Tariftabelle'!$C$6:$AG$27,'4_Anzeichnungsprotokoll'!$A33,'4_Anzeichnungsprotokoll'!$F$15)</f>
        <v>2.2000000000000002</v>
      </c>
      <c r="R33" s="33" t="str">
        <f t="shared" si="4"/>
        <v/>
      </c>
      <c r="S33" s="51"/>
      <c r="T33" s="190">
        <f>INDEX('10_Tariftabelle'!$C$6:$AG$27,'4_Anzeichnungsprotokoll'!$A33,'4_Anzeichnungsprotokoll'!$F$15)</f>
        <v>2.2000000000000002</v>
      </c>
      <c r="U33" s="33" t="str">
        <f t="shared" si="5"/>
        <v/>
      </c>
      <c r="V33" s="51"/>
      <c r="W33" s="190">
        <f>INDEX('10_Tariftabelle'!$C$6:$AG$27,'4_Anzeichnungsprotokoll'!$A33,'4_Anzeichnungsprotokoll'!$F$15)</f>
        <v>2.2000000000000002</v>
      </c>
      <c r="X33" s="33" t="str">
        <f t="shared" si="6"/>
        <v/>
      </c>
      <c r="Y33" s="51"/>
      <c r="Z33" s="190">
        <f>INDEX('10_Tariftabelle'!$C$6:$AG$27,'4_Anzeichnungsprotokoll'!$A33,'4_Anzeichnungsprotokoll'!$F$15)</f>
        <v>2.2000000000000002</v>
      </c>
      <c r="AA33" s="33" t="str">
        <f t="shared" si="7"/>
        <v/>
      </c>
      <c r="AB33" s="194">
        <v>46</v>
      </c>
    </row>
    <row r="34" spans="1:28">
      <c r="A34" s="31">
        <v>9</v>
      </c>
      <c r="B34" s="791" t="s">
        <v>75</v>
      </c>
      <c r="C34" s="791"/>
      <c r="D34" s="51"/>
      <c r="E34" s="190">
        <f>INDEX('10_Tariftabelle'!$C$6:$AG$27,'4_Anzeichnungsprotokoll'!$A34,'4_Anzeichnungsprotokoll'!$F$15)</f>
        <v>2.7</v>
      </c>
      <c r="F34" s="33" t="str">
        <f t="shared" si="0"/>
        <v/>
      </c>
      <c r="G34" s="51"/>
      <c r="H34" s="190">
        <f>INDEX('10_Tariftabelle'!$C$6:$AG$27,'4_Anzeichnungsprotokoll'!$A34,'4_Anzeichnungsprotokoll'!$F$15)</f>
        <v>2.7</v>
      </c>
      <c r="I34" s="33" t="str">
        <f t="shared" si="1"/>
        <v/>
      </c>
      <c r="J34" s="51"/>
      <c r="K34" s="190">
        <f>INDEX('10_Tariftabelle'!$C$6:$AG$27,'4_Anzeichnungsprotokoll'!$A34,'4_Anzeichnungsprotokoll'!$F$15)</f>
        <v>2.7</v>
      </c>
      <c r="L34" s="33" t="str">
        <f t="shared" si="2"/>
        <v/>
      </c>
      <c r="M34" s="51"/>
      <c r="N34" s="190">
        <f>INDEX('10_Tariftabelle'!$C$6:$AG$27,'4_Anzeichnungsprotokoll'!$A34,'4_Anzeichnungsprotokoll'!$F$15)</f>
        <v>2.7</v>
      </c>
      <c r="O34" s="33" t="str">
        <f t="shared" si="3"/>
        <v/>
      </c>
      <c r="P34" s="51"/>
      <c r="Q34" s="190">
        <f>INDEX('10_Tariftabelle'!$C$6:$AG$27,'4_Anzeichnungsprotokoll'!$A34,'4_Anzeichnungsprotokoll'!$F$15)</f>
        <v>2.7</v>
      </c>
      <c r="R34" s="33" t="str">
        <f t="shared" si="4"/>
        <v/>
      </c>
      <c r="S34" s="51"/>
      <c r="T34" s="190">
        <f>INDEX('10_Tariftabelle'!$C$6:$AG$27,'4_Anzeichnungsprotokoll'!$A34,'4_Anzeichnungsprotokoll'!$F$15)</f>
        <v>2.7</v>
      </c>
      <c r="U34" s="33" t="str">
        <f t="shared" si="5"/>
        <v/>
      </c>
      <c r="V34" s="51"/>
      <c r="W34" s="190">
        <f>INDEX('10_Tariftabelle'!$C$6:$AG$27,'4_Anzeichnungsprotokoll'!$A34,'4_Anzeichnungsprotokoll'!$F$15)</f>
        <v>2.7</v>
      </c>
      <c r="X34" s="33" t="str">
        <f t="shared" si="6"/>
        <v/>
      </c>
      <c r="Y34" s="51"/>
      <c r="Z34" s="190">
        <f>INDEX('10_Tariftabelle'!$C$6:$AG$27,'4_Anzeichnungsprotokoll'!$A34,'4_Anzeichnungsprotokoll'!$F$15)</f>
        <v>2.7</v>
      </c>
      <c r="AA34" s="33" t="str">
        <f t="shared" si="7"/>
        <v/>
      </c>
      <c r="AB34" s="194">
        <v>50</v>
      </c>
    </row>
    <row r="35" spans="1:28">
      <c r="A35" s="31">
        <v>10</v>
      </c>
      <c r="B35" s="791" t="s">
        <v>76</v>
      </c>
      <c r="C35" s="791"/>
      <c r="D35" s="51"/>
      <c r="E35" s="190">
        <f>INDEX('10_Tariftabelle'!$C$6:$AG$27,'4_Anzeichnungsprotokoll'!$A35,'4_Anzeichnungsprotokoll'!$F$15)</f>
        <v>3.2</v>
      </c>
      <c r="F35" s="33" t="str">
        <f t="shared" si="0"/>
        <v/>
      </c>
      <c r="G35" s="51"/>
      <c r="H35" s="190">
        <f>INDEX('10_Tariftabelle'!$C$6:$AG$27,'4_Anzeichnungsprotokoll'!$A35,'4_Anzeichnungsprotokoll'!$F$15)</f>
        <v>3.2</v>
      </c>
      <c r="I35" s="33" t="str">
        <f t="shared" si="1"/>
        <v/>
      </c>
      <c r="J35" s="51"/>
      <c r="K35" s="190">
        <f>INDEX('10_Tariftabelle'!$C$6:$AG$27,'4_Anzeichnungsprotokoll'!$A35,'4_Anzeichnungsprotokoll'!$F$15)</f>
        <v>3.2</v>
      </c>
      <c r="L35" s="33" t="str">
        <f t="shared" si="2"/>
        <v/>
      </c>
      <c r="M35" s="51"/>
      <c r="N35" s="190">
        <f>INDEX('10_Tariftabelle'!$C$6:$AG$27,'4_Anzeichnungsprotokoll'!$A35,'4_Anzeichnungsprotokoll'!$F$15)</f>
        <v>3.2</v>
      </c>
      <c r="O35" s="33" t="str">
        <f t="shared" si="3"/>
        <v/>
      </c>
      <c r="P35" s="51"/>
      <c r="Q35" s="190">
        <f>INDEX('10_Tariftabelle'!$C$6:$AG$27,'4_Anzeichnungsprotokoll'!$A35,'4_Anzeichnungsprotokoll'!$F$15)</f>
        <v>3.2</v>
      </c>
      <c r="R35" s="33" t="str">
        <f t="shared" si="4"/>
        <v/>
      </c>
      <c r="S35" s="51"/>
      <c r="T35" s="190">
        <f>INDEX('10_Tariftabelle'!$C$6:$AG$27,'4_Anzeichnungsprotokoll'!$A35,'4_Anzeichnungsprotokoll'!$F$15)</f>
        <v>3.2</v>
      </c>
      <c r="U35" s="33" t="str">
        <f t="shared" si="5"/>
        <v/>
      </c>
      <c r="V35" s="51"/>
      <c r="W35" s="190">
        <f>INDEX('10_Tariftabelle'!$C$6:$AG$27,'4_Anzeichnungsprotokoll'!$A35,'4_Anzeichnungsprotokoll'!$F$15)</f>
        <v>3.2</v>
      </c>
      <c r="X35" s="33" t="str">
        <f t="shared" si="6"/>
        <v/>
      </c>
      <c r="Y35" s="51"/>
      <c r="Z35" s="190">
        <f>INDEX('10_Tariftabelle'!$C$6:$AG$27,'4_Anzeichnungsprotokoll'!$A35,'4_Anzeichnungsprotokoll'!$F$15)</f>
        <v>3.2</v>
      </c>
      <c r="AA35" s="33" t="str">
        <f t="shared" si="7"/>
        <v/>
      </c>
      <c r="AB35" s="194">
        <v>54</v>
      </c>
    </row>
    <row r="36" spans="1:28">
      <c r="A36" s="31">
        <v>11</v>
      </c>
      <c r="B36" s="791" t="s">
        <v>77</v>
      </c>
      <c r="C36" s="791"/>
      <c r="D36" s="51"/>
      <c r="E36" s="190">
        <f>INDEX('10_Tariftabelle'!$C$6:$AG$27,'4_Anzeichnungsprotokoll'!$A36,'4_Anzeichnungsprotokoll'!$F$15)</f>
        <v>3.7</v>
      </c>
      <c r="F36" s="33" t="str">
        <f t="shared" si="0"/>
        <v/>
      </c>
      <c r="G36" s="51"/>
      <c r="H36" s="190">
        <f>INDEX('10_Tariftabelle'!$C$6:$AG$27,'4_Anzeichnungsprotokoll'!$A36,'4_Anzeichnungsprotokoll'!$F$15)</f>
        <v>3.7</v>
      </c>
      <c r="I36" s="33" t="str">
        <f t="shared" si="1"/>
        <v/>
      </c>
      <c r="J36" s="51"/>
      <c r="K36" s="190">
        <f>INDEX('10_Tariftabelle'!$C$6:$AG$27,'4_Anzeichnungsprotokoll'!$A36,'4_Anzeichnungsprotokoll'!$F$15)</f>
        <v>3.7</v>
      </c>
      <c r="L36" s="33" t="str">
        <f t="shared" si="2"/>
        <v/>
      </c>
      <c r="M36" s="51"/>
      <c r="N36" s="190">
        <f>INDEX('10_Tariftabelle'!$C$6:$AG$27,'4_Anzeichnungsprotokoll'!$A36,'4_Anzeichnungsprotokoll'!$F$15)</f>
        <v>3.7</v>
      </c>
      <c r="O36" s="33" t="str">
        <f t="shared" si="3"/>
        <v/>
      </c>
      <c r="P36" s="51"/>
      <c r="Q36" s="190">
        <f>INDEX('10_Tariftabelle'!$C$6:$AG$27,'4_Anzeichnungsprotokoll'!$A36,'4_Anzeichnungsprotokoll'!$F$15)</f>
        <v>3.7</v>
      </c>
      <c r="R36" s="33" t="str">
        <f t="shared" si="4"/>
        <v/>
      </c>
      <c r="S36" s="51"/>
      <c r="T36" s="190">
        <f>INDEX('10_Tariftabelle'!$C$6:$AG$27,'4_Anzeichnungsprotokoll'!$A36,'4_Anzeichnungsprotokoll'!$F$15)</f>
        <v>3.7</v>
      </c>
      <c r="U36" s="33" t="str">
        <f t="shared" si="5"/>
        <v/>
      </c>
      <c r="V36" s="51"/>
      <c r="W36" s="190">
        <f>INDEX('10_Tariftabelle'!$C$6:$AG$27,'4_Anzeichnungsprotokoll'!$A36,'4_Anzeichnungsprotokoll'!$F$15)</f>
        <v>3.7</v>
      </c>
      <c r="X36" s="33" t="str">
        <f t="shared" si="6"/>
        <v/>
      </c>
      <c r="Y36" s="51"/>
      <c r="Z36" s="190">
        <f>INDEX('10_Tariftabelle'!$C$6:$AG$27,'4_Anzeichnungsprotokoll'!$A36,'4_Anzeichnungsprotokoll'!$F$15)</f>
        <v>3.7</v>
      </c>
      <c r="AA36" s="33" t="str">
        <f t="shared" si="7"/>
        <v/>
      </c>
      <c r="AB36" s="194">
        <v>58</v>
      </c>
    </row>
    <row r="37" spans="1:28">
      <c r="A37" s="31">
        <v>12</v>
      </c>
      <c r="B37" s="791" t="s">
        <v>78</v>
      </c>
      <c r="C37" s="791"/>
      <c r="D37" s="51"/>
      <c r="E37" s="190">
        <f>INDEX('10_Tariftabelle'!$C$6:$AG$27,'4_Anzeichnungsprotokoll'!$A37,'4_Anzeichnungsprotokoll'!$F$15)</f>
        <v>4.2</v>
      </c>
      <c r="F37" s="33" t="str">
        <f t="shared" si="0"/>
        <v/>
      </c>
      <c r="G37" s="51"/>
      <c r="H37" s="190">
        <f>INDEX('10_Tariftabelle'!$C$6:$AG$27,'4_Anzeichnungsprotokoll'!$A37,'4_Anzeichnungsprotokoll'!$F$15)</f>
        <v>4.2</v>
      </c>
      <c r="I37" s="33" t="str">
        <f t="shared" si="1"/>
        <v/>
      </c>
      <c r="J37" s="51"/>
      <c r="K37" s="190">
        <f>INDEX('10_Tariftabelle'!$C$6:$AG$27,'4_Anzeichnungsprotokoll'!$A37,'4_Anzeichnungsprotokoll'!$F$15)</f>
        <v>4.2</v>
      </c>
      <c r="L37" s="33" t="str">
        <f t="shared" si="2"/>
        <v/>
      </c>
      <c r="M37" s="51"/>
      <c r="N37" s="190">
        <f>INDEX('10_Tariftabelle'!$C$6:$AG$27,'4_Anzeichnungsprotokoll'!$A37,'4_Anzeichnungsprotokoll'!$F$15)</f>
        <v>4.2</v>
      </c>
      <c r="O37" s="33" t="str">
        <f t="shared" si="3"/>
        <v/>
      </c>
      <c r="P37" s="51"/>
      <c r="Q37" s="190">
        <f>INDEX('10_Tariftabelle'!$C$6:$AG$27,'4_Anzeichnungsprotokoll'!$A37,'4_Anzeichnungsprotokoll'!$F$15)</f>
        <v>4.2</v>
      </c>
      <c r="R37" s="33" t="str">
        <f t="shared" si="4"/>
        <v/>
      </c>
      <c r="S37" s="51"/>
      <c r="T37" s="190">
        <f>INDEX('10_Tariftabelle'!$C$6:$AG$27,'4_Anzeichnungsprotokoll'!$A37,'4_Anzeichnungsprotokoll'!$F$15)</f>
        <v>4.2</v>
      </c>
      <c r="U37" s="33" t="str">
        <f t="shared" si="5"/>
        <v/>
      </c>
      <c r="V37" s="51"/>
      <c r="W37" s="190">
        <f>INDEX('10_Tariftabelle'!$C$6:$AG$27,'4_Anzeichnungsprotokoll'!$A37,'4_Anzeichnungsprotokoll'!$F$15)</f>
        <v>4.2</v>
      </c>
      <c r="X37" s="33" t="str">
        <f t="shared" si="6"/>
        <v/>
      </c>
      <c r="Y37" s="51"/>
      <c r="Z37" s="190">
        <f>INDEX('10_Tariftabelle'!$C$6:$AG$27,'4_Anzeichnungsprotokoll'!$A37,'4_Anzeichnungsprotokoll'!$F$15)</f>
        <v>4.2</v>
      </c>
      <c r="AA37" s="33" t="str">
        <f t="shared" si="7"/>
        <v/>
      </c>
      <c r="AB37" s="194">
        <v>62</v>
      </c>
    </row>
    <row r="38" spans="1:28">
      <c r="A38" s="31">
        <v>13</v>
      </c>
      <c r="B38" s="791" t="s">
        <v>79</v>
      </c>
      <c r="C38" s="791"/>
      <c r="D38" s="51"/>
      <c r="E38" s="190">
        <f>INDEX('10_Tariftabelle'!$C$6:$AG$27,'4_Anzeichnungsprotokoll'!$A38,'4_Anzeichnungsprotokoll'!$F$15)</f>
        <v>4.8</v>
      </c>
      <c r="F38" s="33" t="str">
        <f t="shared" si="0"/>
        <v/>
      </c>
      <c r="G38" s="51"/>
      <c r="H38" s="190">
        <f>INDEX('10_Tariftabelle'!$C$6:$AG$27,'4_Anzeichnungsprotokoll'!$A38,'4_Anzeichnungsprotokoll'!$F$15)</f>
        <v>4.8</v>
      </c>
      <c r="I38" s="33" t="str">
        <f t="shared" si="1"/>
        <v/>
      </c>
      <c r="J38" s="51"/>
      <c r="K38" s="190">
        <f>INDEX('10_Tariftabelle'!$C$6:$AG$27,'4_Anzeichnungsprotokoll'!$A38,'4_Anzeichnungsprotokoll'!$F$15)</f>
        <v>4.8</v>
      </c>
      <c r="L38" s="33" t="str">
        <f t="shared" si="2"/>
        <v/>
      </c>
      <c r="M38" s="51"/>
      <c r="N38" s="190">
        <f>INDEX('10_Tariftabelle'!$C$6:$AG$27,'4_Anzeichnungsprotokoll'!$A38,'4_Anzeichnungsprotokoll'!$F$15)</f>
        <v>4.8</v>
      </c>
      <c r="O38" s="33" t="str">
        <f t="shared" si="3"/>
        <v/>
      </c>
      <c r="P38" s="51"/>
      <c r="Q38" s="190">
        <f>INDEX('10_Tariftabelle'!$C$6:$AG$27,'4_Anzeichnungsprotokoll'!$A38,'4_Anzeichnungsprotokoll'!$F$15)</f>
        <v>4.8</v>
      </c>
      <c r="R38" s="33" t="str">
        <f t="shared" si="4"/>
        <v/>
      </c>
      <c r="S38" s="51"/>
      <c r="T38" s="190">
        <f>INDEX('10_Tariftabelle'!$C$6:$AG$27,'4_Anzeichnungsprotokoll'!$A38,'4_Anzeichnungsprotokoll'!$F$15)</f>
        <v>4.8</v>
      </c>
      <c r="U38" s="33" t="str">
        <f t="shared" si="5"/>
        <v/>
      </c>
      <c r="V38" s="51"/>
      <c r="W38" s="190">
        <f>INDEX('10_Tariftabelle'!$C$6:$AG$27,'4_Anzeichnungsprotokoll'!$A38,'4_Anzeichnungsprotokoll'!$F$15)</f>
        <v>4.8</v>
      </c>
      <c r="X38" s="33" t="str">
        <f t="shared" si="6"/>
        <v/>
      </c>
      <c r="Y38" s="51"/>
      <c r="Z38" s="190">
        <f>INDEX('10_Tariftabelle'!$C$6:$AG$27,'4_Anzeichnungsprotokoll'!$A38,'4_Anzeichnungsprotokoll'!$F$15)</f>
        <v>4.8</v>
      </c>
      <c r="AA38" s="33" t="str">
        <f t="shared" si="7"/>
        <v/>
      </c>
      <c r="AB38" s="194">
        <v>66</v>
      </c>
    </row>
    <row r="39" spans="1:28" ht="12.75" customHeight="1">
      <c r="A39" s="31">
        <v>14</v>
      </c>
      <c r="B39" s="791" t="s">
        <v>80</v>
      </c>
      <c r="C39" s="791"/>
      <c r="D39" s="51"/>
      <c r="E39" s="190">
        <f>INDEX('10_Tariftabelle'!$C$6:$AG$27,'4_Anzeichnungsprotokoll'!$A39,'4_Anzeichnungsprotokoll'!$F$15)</f>
        <v>5.4</v>
      </c>
      <c r="F39" s="33" t="str">
        <f t="shared" si="0"/>
        <v/>
      </c>
      <c r="G39" s="51"/>
      <c r="H39" s="190">
        <f>INDEX('10_Tariftabelle'!$C$6:$AG$27,'4_Anzeichnungsprotokoll'!$A39,'4_Anzeichnungsprotokoll'!$F$15)</f>
        <v>5.4</v>
      </c>
      <c r="I39" s="33" t="str">
        <f t="shared" si="1"/>
        <v/>
      </c>
      <c r="J39" s="51"/>
      <c r="K39" s="190">
        <f>INDEX('10_Tariftabelle'!$C$6:$AG$27,'4_Anzeichnungsprotokoll'!$A39,'4_Anzeichnungsprotokoll'!$F$15)</f>
        <v>5.4</v>
      </c>
      <c r="L39" s="33" t="str">
        <f t="shared" si="2"/>
        <v/>
      </c>
      <c r="M39" s="51"/>
      <c r="N39" s="190">
        <f>INDEX('10_Tariftabelle'!$C$6:$AG$27,'4_Anzeichnungsprotokoll'!$A39,'4_Anzeichnungsprotokoll'!$F$15)</f>
        <v>5.4</v>
      </c>
      <c r="O39" s="33" t="str">
        <f t="shared" si="3"/>
        <v/>
      </c>
      <c r="P39" s="51"/>
      <c r="Q39" s="190">
        <f>INDEX('10_Tariftabelle'!$C$6:$AG$27,'4_Anzeichnungsprotokoll'!$A39,'4_Anzeichnungsprotokoll'!$F$15)</f>
        <v>5.4</v>
      </c>
      <c r="R39" s="33" t="str">
        <f t="shared" si="4"/>
        <v/>
      </c>
      <c r="S39" s="51"/>
      <c r="T39" s="190">
        <f>INDEX('10_Tariftabelle'!$C$6:$AG$27,'4_Anzeichnungsprotokoll'!$A39,'4_Anzeichnungsprotokoll'!$F$15)</f>
        <v>5.4</v>
      </c>
      <c r="U39" s="33" t="str">
        <f t="shared" si="5"/>
        <v/>
      </c>
      <c r="V39" s="51"/>
      <c r="W39" s="190">
        <f>INDEX('10_Tariftabelle'!$C$6:$AG$27,'4_Anzeichnungsprotokoll'!$A39,'4_Anzeichnungsprotokoll'!$F$15)</f>
        <v>5.4</v>
      </c>
      <c r="X39" s="33" t="str">
        <f t="shared" si="6"/>
        <v/>
      </c>
      <c r="Y39" s="51"/>
      <c r="Z39" s="190">
        <f>INDEX('10_Tariftabelle'!$C$6:$AG$27,'4_Anzeichnungsprotokoll'!$A39,'4_Anzeichnungsprotokoll'!$F$15)</f>
        <v>5.4</v>
      </c>
      <c r="AA39" s="33" t="str">
        <f t="shared" si="7"/>
        <v/>
      </c>
      <c r="AB39" s="194">
        <v>70</v>
      </c>
    </row>
    <row r="40" spans="1:28">
      <c r="A40" s="31">
        <v>15</v>
      </c>
      <c r="B40" s="791" t="s">
        <v>81</v>
      </c>
      <c r="C40" s="791"/>
      <c r="D40" s="51"/>
      <c r="E40" s="190">
        <f>INDEX('10_Tariftabelle'!$C$6:$AG$27,'4_Anzeichnungsprotokoll'!$A40,'4_Anzeichnungsprotokoll'!$F$15)</f>
        <v>6</v>
      </c>
      <c r="F40" s="33" t="str">
        <f t="shared" si="0"/>
        <v/>
      </c>
      <c r="G40" s="51"/>
      <c r="H40" s="190">
        <f>INDEX('10_Tariftabelle'!$C$6:$AG$27,'4_Anzeichnungsprotokoll'!$A40,'4_Anzeichnungsprotokoll'!$F$15)</f>
        <v>6</v>
      </c>
      <c r="I40" s="33" t="str">
        <f t="shared" si="1"/>
        <v/>
      </c>
      <c r="J40" s="51"/>
      <c r="K40" s="190">
        <f>INDEX('10_Tariftabelle'!$C$6:$AG$27,'4_Anzeichnungsprotokoll'!$A40,'4_Anzeichnungsprotokoll'!$F$15)</f>
        <v>6</v>
      </c>
      <c r="L40" s="33" t="str">
        <f t="shared" si="2"/>
        <v/>
      </c>
      <c r="M40" s="51"/>
      <c r="N40" s="190">
        <f>INDEX('10_Tariftabelle'!$C$6:$AG$27,'4_Anzeichnungsprotokoll'!$A40,'4_Anzeichnungsprotokoll'!$F$15)</f>
        <v>6</v>
      </c>
      <c r="O40" s="33" t="str">
        <f t="shared" si="3"/>
        <v/>
      </c>
      <c r="P40" s="51"/>
      <c r="Q40" s="190">
        <f>INDEX('10_Tariftabelle'!$C$6:$AG$27,'4_Anzeichnungsprotokoll'!$A40,'4_Anzeichnungsprotokoll'!$F$15)</f>
        <v>6</v>
      </c>
      <c r="R40" s="33" t="str">
        <f t="shared" si="4"/>
        <v/>
      </c>
      <c r="S40" s="51"/>
      <c r="T40" s="190">
        <f>INDEX('10_Tariftabelle'!$C$6:$AG$27,'4_Anzeichnungsprotokoll'!$A40,'4_Anzeichnungsprotokoll'!$F$15)</f>
        <v>6</v>
      </c>
      <c r="U40" s="33" t="str">
        <f t="shared" si="5"/>
        <v/>
      </c>
      <c r="V40" s="51"/>
      <c r="W40" s="190">
        <f>INDEX('10_Tariftabelle'!$C$6:$AG$27,'4_Anzeichnungsprotokoll'!$A40,'4_Anzeichnungsprotokoll'!$F$15)</f>
        <v>6</v>
      </c>
      <c r="X40" s="33" t="str">
        <f t="shared" si="6"/>
        <v/>
      </c>
      <c r="Y40" s="51"/>
      <c r="Z40" s="190">
        <f>INDEX('10_Tariftabelle'!$C$6:$AG$27,'4_Anzeichnungsprotokoll'!$A40,'4_Anzeichnungsprotokoll'!$F$15)</f>
        <v>6</v>
      </c>
      <c r="AA40" s="33" t="str">
        <f t="shared" si="7"/>
        <v/>
      </c>
      <c r="AB40" s="194">
        <v>74</v>
      </c>
    </row>
    <row r="41" spans="1:28">
      <c r="A41" s="31">
        <v>16</v>
      </c>
      <c r="B41" s="791" t="s">
        <v>82</v>
      </c>
      <c r="C41" s="791"/>
      <c r="D41" s="51"/>
      <c r="E41" s="190">
        <f>INDEX('10_Tariftabelle'!$C$6:$AG$27,'4_Anzeichnungsprotokoll'!$A41,'4_Anzeichnungsprotokoll'!$F$15)</f>
        <v>6.6</v>
      </c>
      <c r="F41" s="33" t="str">
        <f t="shared" si="0"/>
        <v/>
      </c>
      <c r="G41" s="51"/>
      <c r="H41" s="190">
        <f>INDEX('10_Tariftabelle'!$C$6:$AG$27,'4_Anzeichnungsprotokoll'!$A41,'4_Anzeichnungsprotokoll'!$F$15)</f>
        <v>6.6</v>
      </c>
      <c r="I41" s="469" t="str">
        <f t="shared" si="1"/>
        <v/>
      </c>
      <c r="J41" s="51"/>
      <c r="K41" s="190">
        <f>INDEX('10_Tariftabelle'!$C$6:$AG$27,'4_Anzeichnungsprotokoll'!$A41,'4_Anzeichnungsprotokoll'!$F$15)</f>
        <v>6.6</v>
      </c>
      <c r="L41" s="33" t="str">
        <f t="shared" si="2"/>
        <v/>
      </c>
      <c r="M41" s="51"/>
      <c r="N41" s="190">
        <f>INDEX('10_Tariftabelle'!$C$6:$AG$27,'4_Anzeichnungsprotokoll'!$A41,'4_Anzeichnungsprotokoll'!$F$15)</f>
        <v>6.6</v>
      </c>
      <c r="O41" s="33" t="str">
        <f t="shared" si="3"/>
        <v/>
      </c>
      <c r="P41" s="51"/>
      <c r="Q41" s="190">
        <f>INDEX('10_Tariftabelle'!$C$6:$AG$27,'4_Anzeichnungsprotokoll'!$A41,'4_Anzeichnungsprotokoll'!$F$15)</f>
        <v>6.6</v>
      </c>
      <c r="R41" s="33" t="str">
        <f t="shared" si="4"/>
        <v/>
      </c>
      <c r="S41" s="51"/>
      <c r="T41" s="190">
        <f>INDEX('10_Tariftabelle'!$C$6:$AG$27,'4_Anzeichnungsprotokoll'!$A41,'4_Anzeichnungsprotokoll'!$F$15)</f>
        <v>6.6</v>
      </c>
      <c r="U41" s="33" t="str">
        <f t="shared" si="5"/>
        <v/>
      </c>
      <c r="V41" s="51"/>
      <c r="W41" s="190">
        <f>INDEX('10_Tariftabelle'!$C$6:$AG$27,'4_Anzeichnungsprotokoll'!$A41,'4_Anzeichnungsprotokoll'!$F$15)</f>
        <v>6.6</v>
      </c>
      <c r="X41" s="33" t="str">
        <f t="shared" si="6"/>
        <v/>
      </c>
      <c r="Y41" s="51"/>
      <c r="Z41" s="190">
        <f>INDEX('10_Tariftabelle'!$C$6:$AG$27,'4_Anzeichnungsprotokoll'!$A41,'4_Anzeichnungsprotokoll'!$F$15)</f>
        <v>6.6</v>
      </c>
      <c r="AA41" s="33" t="str">
        <f t="shared" si="7"/>
        <v/>
      </c>
      <c r="AB41" s="194">
        <v>78</v>
      </c>
    </row>
    <row r="42" spans="1:28">
      <c r="A42" s="31">
        <v>17</v>
      </c>
      <c r="B42" s="791" t="s">
        <v>83</v>
      </c>
      <c r="C42" s="791"/>
      <c r="D42" s="51"/>
      <c r="E42" s="190">
        <f>INDEX('10_Tariftabelle'!$C$6:$AG$27,'4_Anzeichnungsprotokoll'!$A42,'4_Anzeichnungsprotokoll'!$F$15)</f>
        <v>7.4</v>
      </c>
      <c r="F42" s="33" t="str">
        <f t="shared" si="0"/>
        <v/>
      </c>
      <c r="G42" s="51"/>
      <c r="H42" s="190">
        <f>INDEX('10_Tariftabelle'!$C$6:$AG$27,'4_Anzeichnungsprotokoll'!$A42,'4_Anzeichnungsprotokoll'!$F$15)</f>
        <v>7.4</v>
      </c>
      <c r="I42" s="33" t="str">
        <f t="shared" si="1"/>
        <v/>
      </c>
      <c r="J42" s="51"/>
      <c r="K42" s="190">
        <f>INDEX('10_Tariftabelle'!$C$6:$AG$27,'4_Anzeichnungsprotokoll'!$A42,'4_Anzeichnungsprotokoll'!$F$15)</f>
        <v>7.4</v>
      </c>
      <c r="L42" s="33" t="str">
        <f t="shared" si="2"/>
        <v/>
      </c>
      <c r="M42" s="51"/>
      <c r="N42" s="190">
        <f>INDEX('10_Tariftabelle'!$C$6:$AG$27,'4_Anzeichnungsprotokoll'!$A42,'4_Anzeichnungsprotokoll'!$F$15)</f>
        <v>7.4</v>
      </c>
      <c r="O42" s="33" t="str">
        <f t="shared" si="3"/>
        <v/>
      </c>
      <c r="P42" s="51"/>
      <c r="Q42" s="190">
        <f>INDEX('10_Tariftabelle'!$C$6:$AG$27,'4_Anzeichnungsprotokoll'!$A42,'4_Anzeichnungsprotokoll'!$F$15)</f>
        <v>7.4</v>
      </c>
      <c r="R42" s="33" t="str">
        <f t="shared" si="4"/>
        <v/>
      </c>
      <c r="S42" s="51"/>
      <c r="T42" s="190">
        <f>INDEX('10_Tariftabelle'!$C$6:$AG$27,'4_Anzeichnungsprotokoll'!$A42,'4_Anzeichnungsprotokoll'!$F$15)</f>
        <v>7.4</v>
      </c>
      <c r="U42" s="33" t="str">
        <f t="shared" si="5"/>
        <v/>
      </c>
      <c r="V42" s="51"/>
      <c r="W42" s="190">
        <f>INDEX('10_Tariftabelle'!$C$6:$AG$27,'4_Anzeichnungsprotokoll'!$A42,'4_Anzeichnungsprotokoll'!$F$15)</f>
        <v>7.4</v>
      </c>
      <c r="X42" s="33" t="str">
        <f t="shared" si="6"/>
        <v/>
      </c>
      <c r="Y42" s="51"/>
      <c r="Z42" s="190">
        <f>INDEX('10_Tariftabelle'!$C$6:$AG$27,'4_Anzeichnungsprotokoll'!$A42,'4_Anzeichnungsprotokoll'!$F$15)</f>
        <v>7.4</v>
      </c>
      <c r="AA42" s="33" t="str">
        <f t="shared" si="7"/>
        <v/>
      </c>
      <c r="AB42" s="194">
        <v>82</v>
      </c>
    </row>
    <row r="43" spans="1:28">
      <c r="A43" s="31">
        <v>18</v>
      </c>
      <c r="B43" s="791" t="s">
        <v>84</v>
      </c>
      <c r="C43" s="791"/>
      <c r="D43" s="51"/>
      <c r="E43" s="190">
        <f>INDEX('10_Tariftabelle'!$C$6:$AG$27,'4_Anzeichnungsprotokoll'!$A43,'4_Anzeichnungsprotokoll'!$F$15)</f>
        <v>8.1999999999999993</v>
      </c>
      <c r="F43" s="33" t="str">
        <f t="shared" si="0"/>
        <v/>
      </c>
      <c r="G43" s="51"/>
      <c r="H43" s="190">
        <f>INDEX('10_Tariftabelle'!$C$6:$AG$27,'4_Anzeichnungsprotokoll'!$A43,'4_Anzeichnungsprotokoll'!$F$15)</f>
        <v>8.1999999999999993</v>
      </c>
      <c r="I43" s="33" t="str">
        <f t="shared" si="1"/>
        <v/>
      </c>
      <c r="J43" s="51"/>
      <c r="K43" s="190">
        <f>INDEX('10_Tariftabelle'!$C$6:$AG$27,'4_Anzeichnungsprotokoll'!$A43,'4_Anzeichnungsprotokoll'!$F$15)</f>
        <v>8.1999999999999993</v>
      </c>
      <c r="L43" s="33" t="str">
        <f t="shared" si="2"/>
        <v/>
      </c>
      <c r="M43" s="51"/>
      <c r="N43" s="190">
        <f>INDEX('10_Tariftabelle'!$C$6:$AG$27,'4_Anzeichnungsprotokoll'!$A43,'4_Anzeichnungsprotokoll'!$F$15)</f>
        <v>8.1999999999999993</v>
      </c>
      <c r="O43" s="33" t="str">
        <f t="shared" si="3"/>
        <v/>
      </c>
      <c r="P43" s="51"/>
      <c r="Q43" s="190">
        <f>INDEX('10_Tariftabelle'!$C$6:$AG$27,'4_Anzeichnungsprotokoll'!$A43,'4_Anzeichnungsprotokoll'!$F$15)</f>
        <v>8.1999999999999993</v>
      </c>
      <c r="R43" s="33" t="str">
        <f t="shared" si="4"/>
        <v/>
      </c>
      <c r="S43" s="51"/>
      <c r="T43" s="190">
        <f>INDEX('10_Tariftabelle'!$C$6:$AG$27,'4_Anzeichnungsprotokoll'!$A43,'4_Anzeichnungsprotokoll'!$F$15)</f>
        <v>8.1999999999999993</v>
      </c>
      <c r="U43" s="33" t="str">
        <f t="shared" si="5"/>
        <v/>
      </c>
      <c r="V43" s="51"/>
      <c r="W43" s="190">
        <f>INDEX('10_Tariftabelle'!$C$6:$AG$27,'4_Anzeichnungsprotokoll'!$A43,'4_Anzeichnungsprotokoll'!$F$15)</f>
        <v>8.1999999999999993</v>
      </c>
      <c r="X43" s="33" t="str">
        <f t="shared" si="6"/>
        <v/>
      </c>
      <c r="Y43" s="51"/>
      <c r="Z43" s="190">
        <f>INDEX('10_Tariftabelle'!$C$6:$AG$27,'4_Anzeichnungsprotokoll'!$A43,'4_Anzeichnungsprotokoll'!$F$15)</f>
        <v>8.1999999999999993</v>
      </c>
      <c r="AA43" s="33" t="str">
        <f t="shared" si="7"/>
        <v/>
      </c>
      <c r="AB43" s="194">
        <v>86</v>
      </c>
    </row>
    <row r="44" spans="1:28">
      <c r="A44" s="31">
        <v>19</v>
      </c>
      <c r="B44" s="791" t="s">
        <v>85</v>
      </c>
      <c r="C44" s="791"/>
      <c r="D44" s="51"/>
      <c r="E44" s="190">
        <f>INDEX('10_Tariftabelle'!$C$6:$AG$27,'4_Anzeichnungsprotokoll'!$A44,'4_Anzeichnungsprotokoll'!$F$15)</f>
        <v>9</v>
      </c>
      <c r="F44" s="33" t="str">
        <f t="shared" si="0"/>
        <v/>
      </c>
      <c r="G44" s="51"/>
      <c r="H44" s="190">
        <f>INDEX('10_Tariftabelle'!$C$6:$AG$27,'4_Anzeichnungsprotokoll'!$A44,'4_Anzeichnungsprotokoll'!$F$15)</f>
        <v>9</v>
      </c>
      <c r="I44" s="33" t="str">
        <f t="shared" si="1"/>
        <v/>
      </c>
      <c r="J44" s="51"/>
      <c r="K44" s="190">
        <f>INDEX('10_Tariftabelle'!$C$6:$AG$27,'4_Anzeichnungsprotokoll'!$A44,'4_Anzeichnungsprotokoll'!$F$15)</f>
        <v>9</v>
      </c>
      <c r="L44" s="33" t="str">
        <f t="shared" si="2"/>
        <v/>
      </c>
      <c r="M44" s="51"/>
      <c r="N44" s="190">
        <f>INDEX('10_Tariftabelle'!$C$6:$AG$27,'4_Anzeichnungsprotokoll'!$A44,'4_Anzeichnungsprotokoll'!$F$15)</f>
        <v>9</v>
      </c>
      <c r="O44" s="33" t="str">
        <f t="shared" si="3"/>
        <v/>
      </c>
      <c r="P44" s="51"/>
      <c r="Q44" s="190">
        <f>INDEX('10_Tariftabelle'!$C$6:$AG$27,'4_Anzeichnungsprotokoll'!$A44,'4_Anzeichnungsprotokoll'!$F$15)</f>
        <v>9</v>
      </c>
      <c r="R44" s="33" t="str">
        <f t="shared" si="4"/>
        <v/>
      </c>
      <c r="S44" s="51"/>
      <c r="T44" s="190">
        <f>INDEX('10_Tariftabelle'!$C$6:$AG$27,'4_Anzeichnungsprotokoll'!$A44,'4_Anzeichnungsprotokoll'!$F$15)</f>
        <v>9</v>
      </c>
      <c r="U44" s="33" t="str">
        <f t="shared" si="5"/>
        <v/>
      </c>
      <c r="V44" s="51"/>
      <c r="W44" s="190">
        <f>INDEX('10_Tariftabelle'!$C$6:$AG$27,'4_Anzeichnungsprotokoll'!$A44,'4_Anzeichnungsprotokoll'!$F$15)</f>
        <v>9</v>
      </c>
      <c r="X44" s="33" t="str">
        <f t="shared" si="6"/>
        <v/>
      </c>
      <c r="Y44" s="51"/>
      <c r="Z44" s="190">
        <f>INDEX('10_Tariftabelle'!$C$6:$AG$27,'4_Anzeichnungsprotokoll'!$A44,'4_Anzeichnungsprotokoll'!$F$15)</f>
        <v>9</v>
      </c>
      <c r="AA44" s="33" t="str">
        <f t="shared" si="7"/>
        <v/>
      </c>
      <c r="AB44" s="194">
        <v>90</v>
      </c>
    </row>
    <row r="45" spans="1:28">
      <c r="A45" s="31">
        <v>20</v>
      </c>
      <c r="B45" s="791" t="s">
        <v>86</v>
      </c>
      <c r="C45" s="791"/>
      <c r="D45" s="51"/>
      <c r="E45" s="190">
        <f>INDEX('10_Tariftabelle'!$C$6:$AG$27,'4_Anzeichnungsprotokoll'!$A45,'4_Anzeichnungsprotokoll'!$F$15)</f>
        <v>9.8000000000000007</v>
      </c>
      <c r="F45" s="33" t="str">
        <f t="shared" si="0"/>
        <v/>
      </c>
      <c r="G45" s="51"/>
      <c r="H45" s="190">
        <f>INDEX('10_Tariftabelle'!$C$6:$AG$27,'4_Anzeichnungsprotokoll'!$A45,'4_Anzeichnungsprotokoll'!$F$15)</f>
        <v>9.8000000000000007</v>
      </c>
      <c r="I45" s="33" t="str">
        <f t="shared" si="1"/>
        <v/>
      </c>
      <c r="J45" s="51"/>
      <c r="K45" s="190">
        <f>INDEX('10_Tariftabelle'!$C$6:$AG$27,'4_Anzeichnungsprotokoll'!$A45,'4_Anzeichnungsprotokoll'!$F$15)</f>
        <v>9.8000000000000007</v>
      </c>
      <c r="L45" s="33" t="str">
        <f t="shared" si="2"/>
        <v/>
      </c>
      <c r="M45" s="51"/>
      <c r="N45" s="190">
        <f>INDEX('10_Tariftabelle'!$C$6:$AG$27,'4_Anzeichnungsprotokoll'!$A45,'4_Anzeichnungsprotokoll'!$F$15)</f>
        <v>9.8000000000000007</v>
      </c>
      <c r="O45" s="33" t="str">
        <f t="shared" si="3"/>
        <v/>
      </c>
      <c r="P45" s="51"/>
      <c r="Q45" s="190">
        <f>INDEX('10_Tariftabelle'!$C$6:$AG$27,'4_Anzeichnungsprotokoll'!$A45,'4_Anzeichnungsprotokoll'!$F$15)</f>
        <v>9.8000000000000007</v>
      </c>
      <c r="R45" s="33" t="str">
        <f t="shared" si="4"/>
        <v/>
      </c>
      <c r="S45" s="51"/>
      <c r="T45" s="190">
        <f>INDEX('10_Tariftabelle'!$C$6:$AG$27,'4_Anzeichnungsprotokoll'!$A45,'4_Anzeichnungsprotokoll'!$F$15)</f>
        <v>9.8000000000000007</v>
      </c>
      <c r="U45" s="33" t="str">
        <f t="shared" si="5"/>
        <v/>
      </c>
      <c r="V45" s="51"/>
      <c r="W45" s="190">
        <f>INDEX('10_Tariftabelle'!$C$6:$AG$27,'4_Anzeichnungsprotokoll'!$A45,'4_Anzeichnungsprotokoll'!$F$15)</f>
        <v>9.8000000000000007</v>
      </c>
      <c r="X45" s="33" t="str">
        <f t="shared" si="6"/>
        <v/>
      </c>
      <c r="Y45" s="51"/>
      <c r="Z45" s="190">
        <f>INDEX('10_Tariftabelle'!$C$6:$AG$27,'4_Anzeichnungsprotokoll'!$A45,'4_Anzeichnungsprotokoll'!$F$15)</f>
        <v>9.8000000000000007</v>
      </c>
      <c r="AA45" s="33" t="str">
        <f t="shared" si="7"/>
        <v/>
      </c>
      <c r="AB45" s="194">
        <v>94</v>
      </c>
    </row>
    <row r="46" spans="1:28">
      <c r="A46" s="31">
        <v>21</v>
      </c>
      <c r="B46" s="791" t="s">
        <v>87</v>
      </c>
      <c r="C46" s="791"/>
      <c r="D46" s="51"/>
      <c r="E46" s="190">
        <f>INDEX('10_Tariftabelle'!$C$6:$AG$27,'4_Anzeichnungsprotokoll'!$A46,'4_Anzeichnungsprotokoll'!$F$15)</f>
        <v>10.6</v>
      </c>
      <c r="F46" s="33" t="str">
        <f t="shared" si="0"/>
        <v/>
      </c>
      <c r="G46" s="51"/>
      <c r="H46" s="190">
        <f>INDEX('10_Tariftabelle'!$C$6:$AG$27,'4_Anzeichnungsprotokoll'!$A46,'4_Anzeichnungsprotokoll'!$F$15)</f>
        <v>10.6</v>
      </c>
      <c r="I46" s="33" t="str">
        <f t="shared" si="1"/>
        <v/>
      </c>
      <c r="J46" s="51"/>
      <c r="K46" s="190">
        <f>INDEX('10_Tariftabelle'!$C$6:$AG$27,'4_Anzeichnungsprotokoll'!$A46,'4_Anzeichnungsprotokoll'!$F$15)</f>
        <v>10.6</v>
      </c>
      <c r="L46" s="33" t="str">
        <f t="shared" si="2"/>
        <v/>
      </c>
      <c r="M46" s="51"/>
      <c r="N46" s="190">
        <f>INDEX('10_Tariftabelle'!$C$6:$AG$27,'4_Anzeichnungsprotokoll'!$A46,'4_Anzeichnungsprotokoll'!$F$15)</f>
        <v>10.6</v>
      </c>
      <c r="O46" s="33" t="str">
        <f t="shared" si="3"/>
        <v/>
      </c>
      <c r="P46" s="51"/>
      <c r="Q46" s="190">
        <f>INDEX('10_Tariftabelle'!$C$6:$AG$27,'4_Anzeichnungsprotokoll'!$A46,'4_Anzeichnungsprotokoll'!$F$15)</f>
        <v>10.6</v>
      </c>
      <c r="R46" s="33" t="str">
        <f t="shared" si="4"/>
        <v/>
      </c>
      <c r="S46" s="51"/>
      <c r="T46" s="190">
        <f>INDEX('10_Tariftabelle'!$C$6:$AG$27,'4_Anzeichnungsprotokoll'!$A46,'4_Anzeichnungsprotokoll'!$F$15)</f>
        <v>10.6</v>
      </c>
      <c r="U46" s="33" t="str">
        <f t="shared" si="5"/>
        <v/>
      </c>
      <c r="V46" s="51"/>
      <c r="W46" s="190">
        <f>INDEX('10_Tariftabelle'!$C$6:$AG$27,'4_Anzeichnungsprotokoll'!$A46,'4_Anzeichnungsprotokoll'!$F$15)</f>
        <v>10.6</v>
      </c>
      <c r="X46" s="33" t="str">
        <f t="shared" si="6"/>
        <v/>
      </c>
      <c r="Y46" s="51"/>
      <c r="Z46" s="190">
        <f>INDEX('10_Tariftabelle'!$C$6:$AG$27,'4_Anzeichnungsprotokoll'!$A46,'4_Anzeichnungsprotokoll'!$F$15)</f>
        <v>10.6</v>
      </c>
      <c r="AA46" s="33" t="str">
        <f t="shared" si="7"/>
        <v/>
      </c>
      <c r="AB46" s="194">
        <v>98</v>
      </c>
    </row>
    <row r="47" spans="1:28">
      <c r="A47" s="31">
        <v>22</v>
      </c>
      <c r="B47" s="791" t="s">
        <v>88</v>
      </c>
      <c r="C47" s="791"/>
      <c r="D47" s="51"/>
      <c r="E47" s="190">
        <f>INDEX('10_Tariftabelle'!$C$6:$AG$27,'4_Anzeichnungsprotokoll'!$A47,'4_Anzeichnungsprotokoll'!$F$15)</f>
        <v>11.4</v>
      </c>
      <c r="F47" s="33" t="str">
        <f t="shared" si="0"/>
        <v/>
      </c>
      <c r="G47" s="51"/>
      <c r="H47" s="190">
        <f>INDEX('10_Tariftabelle'!$C$6:$AG$27,'4_Anzeichnungsprotokoll'!$A47,'4_Anzeichnungsprotokoll'!$F$15)</f>
        <v>11.4</v>
      </c>
      <c r="I47" s="33" t="str">
        <f t="shared" si="1"/>
        <v/>
      </c>
      <c r="J47" s="51"/>
      <c r="K47" s="190">
        <f>INDEX('10_Tariftabelle'!$C$6:$AG$27,'4_Anzeichnungsprotokoll'!$A47,'4_Anzeichnungsprotokoll'!$F$15)</f>
        <v>11.4</v>
      </c>
      <c r="L47" s="33" t="str">
        <f t="shared" si="2"/>
        <v/>
      </c>
      <c r="M47" s="51"/>
      <c r="N47" s="190">
        <f>INDEX('10_Tariftabelle'!$C$6:$AG$27,'4_Anzeichnungsprotokoll'!$A47,'4_Anzeichnungsprotokoll'!$F$15)</f>
        <v>11.4</v>
      </c>
      <c r="O47" s="33" t="str">
        <f t="shared" si="3"/>
        <v/>
      </c>
      <c r="P47" s="51"/>
      <c r="Q47" s="190">
        <f>INDEX('10_Tariftabelle'!$C$6:$AG$27,'4_Anzeichnungsprotokoll'!$A47,'4_Anzeichnungsprotokoll'!$F$15)</f>
        <v>11.4</v>
      </c>
      <c r="R47" s="33" t="str">
        <f t="shared" si="4"/>
        <v/>
      </c>
      <c r="S47" s="51"/>
      <c r="T47" s="190">
        <f>INDEX('10_Tariftabelle'!$C$6:$AG$27,'4_Anzeichnungsprotokoll'!$A47,'4_Anzeichnungsprotokoll'!$F$15)</f>
        <v>11.4</v>
      </c>
      <c r="U47" s="33" t="str">
        <f t="shared" si="5"/>
        <v/>
      </c>
      <c r="V47" s="51"/>
      <c r="W47" s="190">
        <f>INDEX('10_Tariftabelle'!$C$6:$AG$27,'4_Anzeichnungsprotokoll'!$A47,'4_Anzeichnungsprotokoll'!$F$15)</f>
        <v>11.4</v>
      </c>
      <c r="X47" s="33" t="str">
        <f t="shared" si="6"/>
        <v/>
      </c>
      <c r="Y47" s="51"/>
      <c r="Z47" s="190">
        <f>INDEX('10_Tariftabelle'!$C$6:$AG$27,'4_Anzeichnungsprotokoll'!$A47,'4_Anzeichnungsprotokoll'!$F$15)</f>
        <v>11.4</v>
      </c>
      <c r="AA47" s="33" t="str">
        <f t="shared" si="7"/>
        <v/>
      </c>
      <c r="AB47" s="194">
        <v>102</v>
      </c>
    </row>
    <row r="48" spans="1:28" s="34" customFormat="1" ht="15">
      <c r="A48" s="842" t="s">
        <v>47</v>
      </c>
      <c r="B48" s="842"/>
      <c r="C48" s="842"/>
      <c r="D48" s="49">
        <f>IF(D55&gt;0,D55,SUM(D26:D47))</f>
        <v>0</v>
      </c>
      <c r="E48" s="818">
        <f>IF(E55&gt;0,E55,SUM(F26:F47))</f>
        <v>0</v>
      </c>
      <c r="F48" s="818"/>
      <c r="G48" s="49">
        <f>IF(G55&gt;0,G55,SUM(G26:G47))</f>
        <v>0</v>
      </c>
      <c r="H48" s="818">
        <f>IF(H55&gt;0,H55,SUM(I26:I47))</f>
        <v>0</v>
      </c>
      <c r="I48" s="818"/>
      <c r="J48" s="49">
        <f>IF(J55&gt;0,J55,SUM(J26:J47))</f>
        <v>0</v>
      </c>
      <c r="K48" s="818">
        <f>IF(K55&gt;0,K55,SUM(L26:L47))</f>
        <v>0</v>
      </c>
      <c r="L48" s="818"/>
      <c r="M48" s="49">
        <f>IF(M55&gt;0,M55,SUM(M26:M47))</f>
        <v>0</v>
      </c>
      <c r="N48" s="818">
        <f>IF(N55&gt;0,N55,SUM(O26:O47))</f>
        <v>0</v>
      </c>
      <c r="O48" s="818"/>
      <c r="P48" s="49">
        <f>IF(P55&gt;0,P55,SUM(P26:P47))</f>
        <v>0</v>
      </c>
      <c r="Q48" s="818">
        <f>IF(Q55&gt;0,Q55,SUM(R26:R47))</f>
        <v>0</v>
      </c>
      <c r="R48" s="818"/>
      <c r="S48" s="49">
        <f>IF(S55&gt;0,S55,SUM(S26:S47))</f>
        <v>0</v>
      </c>
      <c r="T48" s="818">
        <f>IF(T55&gt;0,T55,SUM(U26:U47))</f>
        <v>0</v>
      </c>
      <c r="U48" s="818"/>
      <c r="V48" s="49">
        <f>IF(V55&gt;0,V55,SUM(V26:V47))</f>
        <v>0</v>
      </c>
      <c r="W48" s="818">
        <f>IF(W55&gt;0,W55,SUM(X26:X47))</f>
        <v>0</v>
      </c>
      <c r="X48" s="818"/>
      <c r="Y48" s="49">
        <f>IF(Y55&gt;0,Y55,SUM(Y26:Y47))</f>
        <v>0</v>
      </c>
      <c r="Z48" s="818">
        <f>IF(Z55&gt;0,Z55,SUM(AA26:AA47))</f>
        <v>0</v>
      </c>
      <c r="AA48" s="818"/>
    </row>
    <row r="49" spans="1:29" s="184" customFormat="1">
      <c r="A49" s="835" t="s">
        <v>282</v>
      </c>
      <c r="B49" s="835"/>
      <c r="C49" s="835"/>
      <c r="D49" s="468">
        <v>0.12</v>
      </c>
      <c r="E49" s="822">
        <f>E48*D49</f>
        <v>0</v>
      </c>
      <c r="F49" s="822"/>
      <c r="G49" s="470">
        <v>0.12</v>
      </c>
      <c r="H49" s="822">
        <f>H48*G49</f>
        <v>0</v>
      </c>
      <c r="I49" s="822"/>
      <c r="J49" s="470">
        <v>0.12</v>
      </c>
      <c r="K49" s="822">
        <f>K48*J49</f>
        <v>0</v>
      </c>
      <c r="L49" s="822"/>
      <c r="M49" s="470">
        <v>0.12</v>
      </c>
      <c r="N49" s="822">
        <f>N48*M49</f>
        <v>0</v>
      </c>
      <c r="O49" s="822"/>
      <c r="P49" s="470">
        <v>0.12</v>
      </c>
      <c r="Q49" s="822">
        <f>Q48*P49</f>
        <v>0</v>
      </c>
      <c r="R49" s="822"/>
      <c r="S49" s="470">
        <v>0.12</v>
      </c>
      <c r="T49" s="822">
        <f>T48*S49</f>
        <v>0</v>
      </c>
      <c r="U49" s="822"/>
      <c r="V49" s="470">
        <v>0.12</v>
      </c>
      <c r="W49" s="822">
        <f>W48*V49</f>
        <v>0</v>
      </c>
      <c r="X49" s="822"/>
      <c r="Y49" s="470">
        <v>0.12</v>
      </c>
      <c r="Z49" s="822">
        <f>Z48*Y49</f>
        <v>0</v>
      </c>
      <c r="AA49" s="822"/>
    </row>
    <row r="50" spans="1:29" s="184" customFormat="1">
      <c r="A50" s="839" t="s">
        <v>1006</v>
      </c>
      <c r="B50" s="840"/>
      <c r="C50" s="841"/>
      <c r="D50" s="478">
        <f>IF(E52=0,0,CONCATENATE(Durchmessertabelle!J16,"cm"))</f>
        <v>0</v>
      </c>
      <c r="E50" s="472" t="e">
        <f>IF(Durchmessertabelle!J16&gt;0,IF(Durchmessertabelle!J16&lt;30,1,IF(Durchmessertabelle!J16&lt;=35,2,IF(Durchmessertabelle!J16&lt;=40,3,IF(Durchmessertabelle!J16&lt;=50,4,IF(Durchmessertabelle!J16&gt;50,5))))))</f>
        <v>#N/A</v>
      </c>
      <c r="F50" s="473">
        <f>IF(E52=0,0,E52/D52)</f>
        <v>0</v>
      </c>
      <c r="G50" s="477">
        <f>IF(H52=0,0,CONCATENATE(Durchmessertabelle!K16,"cm"))</f>
        <v>0</v>
      </c>
      <c r="H50" s="474" t="e">
        <f>IF(Durchmessertabelle!K16&gt;0,IF(Durchmessertabelle!K16&lt;30,1,IF(Durchmessertabelle!K16&lt;=35,2,IF(Durchmessertabelle!K16&lt;=40,3,IF(Durchmessertabelle!K16&lt;=50,4,IF(Durchmessertabelle!K16&gt;50,5))))))</f>
        <v>#N/A</v>
      </c>
      <c r="I50" s="473">
        <f>IF(H52=0,0,H52/G52)</f>
        <v>0</v>
      </c>
      <c r="J50" s="477">
        <f>IF(K52=0,0,CONCATENATE(Durchmessertabelle!L16,"cm"))</f>
        <v>0</v>
      </c>
      <c r="K50" s="474" t="e">
        <f>IF(Durchmessertabelle!L16&gt;0,IF(Durchmessertabelle!L16&lt;30,1,IF(Durchmessertabelle!L16&lt;=35,2,IF(Durchmessertabelle!L16&lt;=40,3,IF(Durchmessertabelle!L16&lt;=50,4,IF(Durchmessertabelle!L16&gt;50,5))))))</f>
        <v>#N/A</v>
      </c>
      <c r="L50" s="473">
        <f>IF(K52=0,0,K52/J52)</f>
        <v>0</v>
      </c>
      <c r="M50" s="477">
        <f>IF(N52=0,0,CONCATENATE(Durchmessertabelle!M16,"cm"))</f>
        <v>0</v>
      </c>
      <c r="N50" s="474" t="e">
        <f>IF(Durchmessertabelle!M16&gt;0,IF(Durchmessertabelle!M16&lt;30,1,IF(Durchmessertabelle!M16&lt;=35,2,IF(Durchmessertabelle!M16&lt;=40,3,IF(Durchmessertabelle!M16&lt;=50,4,IF(Durchmessertabelle!M16&gt;50,5))))))</f>
        <v>#N/A</v>
      </c>
      <c r="O50" s="473">
        <f>IF(N52=0,0,N52/M52)</f>
        <v>0</v>
      </c>
      <c r="P50" s="477">
        <f>IF(Q52=0,0,CONCATENATE(Durchmessertabelle!N16,"cm"))</f>
        <v>0</v>
      </c>
      <c r="Q50" s="474" t="e">
        <f>IF(Durchmessertabelle!N16&gt;0,IF(Durchmessertabelle!N16&lt;30,1,IF(Durchmessertabelle!N16&lt;=35,2,IF(Durchmessertabelle!N16&lt;=40,3,IF(Durchmessertabelle!N16&lt;=50,4,IF(Durchmessertabelle!N16&gt;50,5))))))</f>
        <v>#N/A</v>
      </c>
      <c r="R50" s="473">
        <f>IF(Q52=0,0,Q52/P52)</f>
        <v>0</v>
      </c>
      <c r="S50" s="477">
        <f>IF(T52=0,0,CONCATENATE(Durchmessertabelle!O16,"cm"))</f>
        <v>0</v>
      </c>
      <c r="T50" s="474" t="e">
        <f>IF(Durchmessertabelle!O16&gt;0,IF(Durchmessertabelle!O16&lt;30,1,IF(Durchmessertabelle!O16&lt;=35,2,IF(Durchmessertabelle!O16&lt;=40,3,IF(Durchmessertabelle!O16&lt;=50,4,IF(Durchmessertabelle!O16&gt;50,5))))))</f>
        <v>#N/A</v>
      </c>
      <c r="U50" s="473">
        <f>IF(T52=0,0,T52/S52)</f>
        <v>0</v>
      </c>
      <c r="V50" s="477">
        <f>IF(W52=0,0,CONCATENATE(Durchmessertabelle!P16,"cm"))</f>
        <v>0</v>
      </c>
      <c r="W50" s="474" t="e">
        <f>IF(Durchmessertabelle!P16&gt;0,IF(Durchmessertabelle!P16&lt;30,1,IF(Durchmessertabelle!P16&lt;=35,2,IF(Durchmessertabelle!P16&lt;=40,3,IF(Durchmessertabelle!P16&lt;=50,4,IF(Durchmessertabelle!P16&gt;50,5))))))</f>
        <v>#N/A</v>
      </c>
      <c r="X50" s="473">
        <f>IF(W52=0,0,W52/V52)</f>
        <v>0</v>
      </c>
      <c r="Y50" s="477">
        <f>IF(Z52=0,0,CONCATENATE(Durchmessertabelle!Q16,"cm"))</f>
        <v>0</v>
      </c>
      <c r="Z50" s="474" t="e">
        <f>IF(Durchmessertabelle!Q16&gt;0,IF(Durchmessertabelle!Q16&lt;30,1,IF(Durchmessertabelle!Q16&lt;=35,2,IF(Durchmessertabelle!Q16&lt;=40,3,IF(Durchmessertabelle!Q16&lt;=50,4,IF(Durchmessertabelle!Q16&gt;50,5))))))</f>
        <v>#N/A</v>
      </c>
      <c r="AA50" s="475">
        <f>IF(Z52=0,0,Z52/Y52)</f>
        <v>0</v>
      </c>
    </row>
    <row r="51" spans="1:29" s="184" customFormat="1">
      <c r="A51" s="805" t="s">
        <v>1005</v>
      </c>
      <c r="B51" s="806"/>
      <c r="C51" s="807"/>
      <c r="D51" s="467">
        <f>IF(D17&gt;3,0,INDEX('Pauschalansätze etc.'!$V$18:$Z$20,'4_Anzeichnungsprotokoll'!D17,'4_Anzeichnungsprotokoll'!E50))</f>
        <v>0</v>
      </c>
      <c r="E51" s="837">
        <f>D51*E52</f>
        <v>0</v>
      </c>
      <c r="F51" s="838"/>
      <c r="G51" s="476">
        <f>IF(G17&gt;3,0,INDEX('Pauschalansätze etc.'!$V$18:$Z$20,'4_Anzeichnungsprotokoll'!G17,'4_Anzeichnungsprotokoll'!H50))</f>
        <v>0</v>
      </c>
      <c r="H51" s="837">
        <f>G51*H52</f>
        <v>0</v>
      </c>
      <c r="I51" s="838"/>
      <c r="J51" s="476">
        <f>IF(J17&gt;3,0,INDEX('Pauschalansätze etc.'!$V$18:$Z$20,'4_Anzeichnungsprotokoll'!J17,'4_Anzeichnungsprotokoll'!K50))</f>
        <v>0</v>
      </c>
      <c r="K51" s="837">
        <f>J51*K52</f>
        <v>0</v>
      </c>
      <c r="L51" s="838"/>
      <c r="M51" s="476">
        <f>IF(M17&gt;3,0,INDEX('Pauschalansätze etc.'!$V$18:$Z$20,'4_Anzeichnungsprotokoll'!M17,'4_Anzeichnungsprotokoll'!N50))</f>
        <v>0</v>
      </c>
      <c r="N51" s="837">
        <f>M51*N52</f>
        <v>0</v>
      </c>
      <c r="O51" s="838"/>
      <c r="P51" s="476">
        <f>IF(P17&gt;3,0,INDEX('Pauschalansätze etc.'!$V$18:$Z$20,'4_Anzeichnungsprotokoll'!P17,'4_Anzeichnungsprotokoll'!Q50))</f>
        <v>0</v>
      </c>
      <c r="Q51" s="837">
        <f>P51*Q52</f>
        <v>0</v>
      </c>
      <c r="R51" s="838"/>
      <c r="S51" s="476">
        <f>IF(S17&gt;3,0,INDEX('Pauschalansätze etc.'!$V$18:$Z$20,'4_Anzeichnungsprotokoll'!S17,'4_Anzeichnungsprotokoll'!T50))</f>
        <v>0</v>
      </c>
      <c r="T51" s="837">
        <f>S51*T52</f>
        <v>0</v>
      </c>
      <c r="U51" s="838"/>
      <c r="V51" s="476">
        <f>IF(V17&gt;3,0,INDEX('Pauschalansätze etc.'!$V$18:$Z$20,'4_Anzeichnungsprotokoll'!V17,'4_Anzeichnungsprotokoll'!W50))</f>
        <v>0</v>
      </c>
      <c r="W51" s="837">
        <f>V51*W52</f>
        <v>0</v>
      </c>
      <c r="X51" s="838"/>
      <c r="Y51" s="476">
        <f>IF(Y17&gt;3,0,INDEX('Pauschalansätze etc.'!$V$18:$Z$20,'4_Anzeichnungsprotokoll'!Y17,'4_Anzeichnungsprotokoll'!Z50))</f>
        <v>0</v>
      </c>
      <c r="Z51" s="837">
        <f>Y51*Z52</f>
        <v>0</v>
      </c>
      <c r="AA51" s="838"/>
      <c r="AB51" s="479"/>
    </row>
    <row r="52" spans="1:29" s="34" customFormat="1" ht="15">
      <c r="A52" s="844" t="s">
        <v>283</v>
      </c>
      <c r="B52" s="844"/>
      <c r="C52" s="844"/>
      <c r="D52" s="185">
        <f>D48</f>
        <v>0</v>
      </c>
      <c r="E52" s="789">
        <f>E48-E49</f>
        <v>0</v>
      </c>
      <c r="F52" s="789"/>
      <c r="G52" s="471">
        <f>G48</f>
        <v>0</v>
      </c>
      <c r="H52" s="789">
        <f>H48-H49</f>
        <v>0</v>
      </c>
      <c r="I52" s="789"/>
      <c r="J52" s="471">
        <f>J48</f>
        <v>0</v>
      </c>
      <c r="K52" s="789">
        <f>K48-K49</f>
        <v>0</v>
      </c>
      <c r="L52" s="789"/>
      <c r="M52" s="471">
        <f>M48</f>
        <v>0</v>
      </c>
      <c r="N52" s="789">
        <f>N48-N49</f>
        <v>0</v>
      </c>
      <c r="O52" s="789"/>
      <c r="P52" s="471">
        <f>P48</f>
        <v>0</v>
      </c>
      <c r="Q52" s="789">
        <f>Q48-Q49</f>
        <v>0</v>
      </c>
      <c r="R52" s="789"/>
      <c r="S52" s="471">
        <f>S48</f>
        <v>0</v>
      </c>
      <c r="T52" s="789">
        <f>T48-T49</f>
        <v>0</v>
      </c>
      <c r="U52" s="789"/>
      <c r="V52" s="471">
        <f>V48</f>
        <v>0</v>
      </c>
      <c r="W52" s="789">
        <f>W48-W49</f>
        <v>0</v>
      </c>
      <c r="X52" s="789"/>
      <c r="Y52" s="471">
        <f>Y48</f>
        <v>0</v>
      </c>
      <c r="Z52" s="789">
        <f>Z48-Z49</f>
        <v>0</v>
      </c>
      <c r="AA52" s="789"/>
    </row>
    <row r="53" spans="1:29" s="34" customFormat="1" ht="6.75" customHeight="1">
      <c r="C53" s="56"/>
      <c r="D53" s="74">
        <f>M48+J48+G48+D48</f>
        <v>0</v>
      </c>
      <c r="E53" s="70">
        <f>SUM(E48+H48+K48+N48)*0.88</f>
        <v>0</v>
      </c>
      <c r="F53" s="58"/>
      <c r="G53" s="57">
        <v>0</v>
      </c>
      <c r="H53" s="58"/>
      <c r="I53" s="58"/>
      <c r="J53" s="57"/>
      <c r="K53" s="58"/>
      <c r="L53" s="58"/>
      <c r="M53" s="57"/>
      <c r="N53" s="58"/>
      <c r="O53" s="58"/>
      <c r="P53" s="57"/>
      <c r="Q53" s="58"/>
      <c r="R53" s="58"/>
      <c r="S53" s="57"/>
      <c r="T53" s="58"/>
      <c r="U53" s="58"/>
      <c r="V53" s="57"/>
      <c r="W53" s="58"/>
      <c r="X53" s="58"/>
      <c r="Y53" s="57"/>
      <c r="Z53" s="58"/>
      <c r="AA53" s="58"/>
    </row>
    <row r="54" spans="1:29" s="34" customFormat="1" ht="15" customHeight="1">
      <c r="A54" s="843" t="s">
        <v>129</v>
      </c>
      <c r="B54" s="843"/>
      <c r="C54" s="843"/>
      <c r="D54" s="60" t="s">
        <v>130</v>
      </c>
      <c r="E54" s="785" t="s">
        <v>46</v>
      </c>
      <c r="F54" s="785"/>
      <c r="G54" s="60" t="s">
        <v>130</v>
      </c>
      <c r="H54" s="785" t="s">
        <v>46</v>
      </c>
      <c r="I54" s="785"/>
      <c r="J54" s="60" t="s">
        <v>130</v>
      </c>
      <c r="K54" s="785" t="s">
        <v>46</v>
      </c>
      <c r="L54" s="785"/>
      <c r="M54" s="60" t="s">
        <v>130</v>
      </c>
      <c r="N54" s="785" t="s">
        <v>46</v>
      </c>
      <c r="O54" s="785"/>
      <c r="P54" s="60" t="s">
        <v>130</v>
      </c>
      <c r="Q54" s="785" t="s">
        <v>46</v>
      </c>
      <c r="R54" s="785"/>
      <c r="S54" s="60" t="s">
        <v>130</v>
      </c>
      <c r="T54" s="785" t="s">
        <v>46</v>
      </c>
      <c r="U54" s="785"/>
      <c r="V54" s="60" t="s">
        <v>130</v>
      </c>
      <c r="W54" s="785" t="s">
        <v>46</v>
      </c>
      <c r="X54" s="785"/>
      <c r="Y54" s="60" t="s">
        <v>130</v>
      </c>
      <c r="Z54" s="785" t="s">
        <v>46</v>
      </c>
      <c r="AA54" s="785"/>
    </row>
    <row r="55" spans="1:29" s="34" customFormat="1" ht="15">
      <c r="A55" s="843"/>
      <c r="B55" s="843"/>
      <c r="C55" s="843"/>
      <c r="D55" s="59"/>
      <c r="E55" s="786"/>
      <c r="F55" s="786"/>
      <c r="G55" s="59"/>
      <c r="H55" s="786"/>
      <c r="I55" s="786"/>
      <c r="J55" s="59"/>
      <c r="K55" s="786"/>
      <c r="L55" s="786"/>
      <c r="M55" s="59"/>
      <c r="N55" s="786"/>
      <c r="O55" s="786"/>
      <c r="P55" s="59"/>
      <c r="Q55" s="786"/>
      <c r="R55" s="786"/>
      <c r="S55" s="59"/>
      <c r="T55" s="786"/>
      <c r="U55" s="786"/>
      <c r="V55" s="59"/>
      <c r="W55" s="786"/>
      <c r="X55" s="786"/>
      <c r="Y55" s="59"/>
      <c r="Z55" s="786"/>
      <c r="AA55" s="786"/>
    </row>
    <row r="56" spans="1:29" s="34" customFormat="1" ht="14.25">
      <c r="A56" s="775" t="s">
        <v>131</v>
      </c>
      <c r="B56" s="775"/>
      <c r="C56" s="775"/>
      <c r="D56" s="186">
        <v>0.12</v>
      </c>
      <c r="E56" s="783">
        <f>E55*D56</f>
        <v>0</v>
      </c>
      <c r="F56" s="783"/>
      <c r="G56" s="186">
        <v>0.12</v>
      </c>
      <c r="H56" s="783">
        <f>H55*G56</f>
        <v>0</v>
      </c>
      <c r="I56" s="783"/>
      <c r="J56" s="186">
        <v>0.12</v>
      </c>
      <c r="K56" s="783">
        <f>K55*J56</f>
        <v>0</v>
      </c>
      <c r="L56" s="783"/>
      <c r="M56" s="186">
        <v>0.12</v>
      </c>
      <c r="N56" s="783">
        <f>N55*M56</f>
        <v>0</v>
      </c>
      <c r="O56" s="783"/>
      <c r="P56" s="186">
        <v>0.12</v>
      </c>
      <c r="Q56" s="783">
        <f>Q55*P56</f>
        <v>0</v>
      </c>
      <c r="R56" s="783"/>
      <c r="S56" s="186">
        <v>0.12</v>
      </c>
      <c r="T56" s="783">
        <f>T55*S56</f>
        <v>0</v>
      </c>
      <c r="U56" s="783"/>
      <c r="V56" s="186">
        <v>0.12</v>
      </c>
      <c r="W56" s="783">
        <f>W55*V56</f>
        <v>0</v>
      </c>
      <c r="X56" s="783"/>
      <c r="Y56" s="186">
        <v>0.12</v>
      </c>
      <c r="Z56" s="783">
        <f>Z55*Y56</f>
        <v>0</v>
      </c>
      <c r="AA56" s="783"/>
    </row>
    <row r="57" spans="1:29" s="34" customFormat="1" ht="15">
      <c r="A57" s="782" t="s">
        <v>284</v>
      </c>
      <c r="B57" s="782"/>
      <c r="C57" s="782"/>
      <c r="D57" s="185">
        <f>D55</f>
        <v>0</v>
      </c>
      <c r="E57" s="784">
        <f>E55-E56</f>
        <v>0</v>
      </c>
      <c r="F57" s="784"/>
      <c r="G57" s="185">
        <f>G55</f>
        <v>0</v>
      </c>
      <c r="H57" s="784">
        <f>H55-H56</f>
        <v>0</v>
      </c>
      <c r="I57" s="784"/>
      <c r="J57" s="185">
        <f>J55</f>
        <v>0</v>
      </c>
      <c r="K57" s="784">
        <f>K55-K56</f>
        <v>0</v>
      </c>
      <c r="L57" s="784"/>
      <c r="M57" s="185">
        <f>M55</f>
        <v>0</v>
      </c>
      <c r="N57" s="784">
        <f>N55-N56</f>
        <v>0</v>
      </c>
      <c r="O57" s="784"/>
      <c r="P57" s="185">
        <f>P55</f>
        <v>0</v>
      </c>
      <c r="Q57" s="784">
        <f>Q55-Q56</f>
        <v>0</v>
      </c>
      <c r="R57" s="784"/>
      <c r="S57" s="185">
        <f>S55</f>
        <v>0</v>
      </c>
      <c r="T57" s="784">
        <f>T55-T56</f>
        <v>0</v>
      </c>
      <c r="U57" s="784"/>
      <c r="V57" s="185">
        <f>V55</f>
        <v>0</v>
      </c>
      <c r="W57" s="784">
        <f>W55-W56</f>
        <v>0</v>
      </c>
      <c r="X57" s="784"/>
      <c r="Y57" s="185">
        <f>Y55</f>
        <v>0</v>
      </c>
      <c r="Z57" s="784">
        <f>Z55-Z56</f>
        <v>0</v>
      </c>
      <c r="AA57" s="784"/>
    </row>
    <row r="58" spans="1:29">
      <c r="A58" s="187"/>
      <c r="B58" s="187"/>
      <c r="C58" s="7"/>
      <c r="P58" s="154"/>
      <c r="Q58" s="154"/>
      <c r="R58" s="154"/>
      <c r="S58" s="154"/>
      <c r="T58" s="154"/>
      <c r="U58" s="154"/>
      <c r="V58" s="154"/>
      <c r="W58" s="154"/>
      <c r="X58" s="154"/>
      <c r="Y58" s="154"/>
      <c r="Z58" s="154"/>
      <c r="AA58" s="154"/>
      <c r="AB58" s="154"/>
    </row>
    <row r="59" spans="1:29" ht="7.5" customHeight="1" thickBot="1">
      <c r="C59" s="66"/>
      <c r="D59" s="67"/>
      <c r="E59" s="68"/>
      <c r="F59" s="68"/>
      <c r="G59" s="69"/>
      <c r="H59" s="69"/>
      <c r="I59" s="69"/>
      <c r="J59" s="69"/>
      <c r="K59" s="69"/>
      <c r="L59" s="69"/>
      <c r="M59" s="69"/>
      <c r="N59" s="69"/>
      <c r="O59" s="69"/>
      <c r="P59" s="153"/>
    </row>
    <row r="60" spans="1:29" ht="15.75" thickBot="1">
      <c r="A60" s="776" t="s">
        <v>679</v>
      </c>
      <c r="B60" s="777"/>
      <c r="C60" s="777"/>
      <c r="D60" s="777"/>
      <c r="E60" s="777"/>
      <c r="F60" s="777"/>
      <c r="G60" s="777"/>
      <c r="H60" s="777"/>
      <c r="I60" s="777"/>
      <c r="J60" s="777"/>
      <c r="K60" s="777"/>
      <c r="L60" s="777"/>
      <c r="M60" s="777"/>
      <c r="N60" s="777"/>
      <c r="O60" s="777"/>
      <c r="P60" s="777"/>
      <c r="Q60" s="777"/>
      <c r="R60" s="777"/>
      <c r="S60" s="777"/>
      <c r="T60" s="778"/>
      <c r="U60" s="298"/>
      <c r="V60" s="772" t="s">
        <v>660</v>
      </c>
      <c r="W60" s="773"/>
      <c r="X60" s="773"/>
      <c r="Y60" s="774"/>
    </row>
    <row r="61" spans="1:29" ht="15">
      <c r="A61" s="772" t="s">
        <v>416</v>
      </c>
      <c r="B61" s="773"/>
      <c r="C61" s="773"/>
      <c r="D61" s="774"/>
      <c r="E61" s="772" t="s">
        <v>417</v>
      </c>
      <c r="F61" s="773"/>
      <c r="G61" s="773"/>
      <c r="H61" s="773"/>
      <c r="I61" s="772" t="s">
        <v>693</v>
      </c>
      <c r="J61" s="773"/>
      <c r="K61" s="773"/>
      <c r="L61" s="774"/>
      <c r="M61" s="773" t="s">
        <v>680</v>
      </c>
      <c r="N61" s="773"/>
      <c r="O61" s="773"/>
      <c r="P61" s="774"/>
      <c r="Q61" s="772" t="s">
        <v>415</v>
      </c>
      <c r="R61" s="773"/>
      <c r="S61" s="773"/>
      <c r="T61" s="774"/>
      <c r="U61" s="298"/>
      <c r="V61" s="779"/>
      <c r="W61" s="780"/>
      <c r="X61" s="780"/>
      <c r="Y61" s="781"/>
    </row>
    <row r="62" spans="1:29" ht="14.25">
      <c r="A62" s="748" t="s">
        <v>31</v>
      </c>
      <c r="B62" s="749"/>
      <c r="C62" s="756" t="str">
        <f>IF(IF($D$19=4,$D$48,0)+IF($G$19=4,$G$48,0)+IF($J$19=4,$J$48,0)+IF($M$19=4,$M$48,0)+IF($P$19=4,$P$48,0)+IF($S$19=4,$S$48,0)+IF($V$19=4,$V$48,0)+IF($Y$19=4,$Y$48,0)=0,"",IF($D$19=4,$D$48,0)+IF($G$19=4,$G$48,0)+IF($J$19=4,$J$48,0)+IF($M$19=4,$M$48,0)+IF($P$19=4,$P$48,0)+IF($S$19=4,$S$48,0)+IF($V$19=4,$V$48,0)+IF($Y$19=4,$Y$48,0))</f>
        <v/>
      </c>
      <c r="D62" s="757"/>
      <c r="E62" s="748" t="s">
        <v>31</v>
      </c>
      <c r="F62" s="749"/>
      <c r="G62" s="756" t="str">
        <f>IF(IF($D$19=5,$D$48,0)+IF($G$19=5,$G$48,0)+IF($J$19=5,$J$48,0)+IF($M$19=5,$M$48,0)+IF($P$19=5,$P$48,0)+IF($S$19=5,$S$48,0)+IF($V$19=5,$V$48,0)+IF($Y$19=5,$Y$48,0)=0,"",IF($D$19=5,$D$48,0)+IF($G$19=5,$G$48,0)+IF($J$19=5,$J$48,0)+IF($M$19=5,$M$48,0)+IF($P$19=5,$P$48,0)+IF($S$19=5,$S$48,0)+IF($V$19=5,$V$48,0)+IF($Y$19=5,$Y$48,0))</f>
        <v/>
      </c>
      <c r="H62" s="756"/>
      <c r="I62" s="748" t="s">
        <v>31</v>
      </c>
      <c r="J62" s="749"/>
      <c r="K62" s="756" t="str">
        <f>IF(IF($D$19=3,$D$48,0)+IF($G$19=3,$G$48,0)+IF($J$19=3,$J$48,0)+IF($M$19=3,$M$48,0)+IF($P$19=5,$P$48,0)+IF($S$19=3,$S$48,0)+IF($V$19=3,$V$48,0)+IF($Y$19=3,$Y$48,0)=0,"",IF($D$19=3,$D$48,0)+IF($G$19=3,$G$48,0)+IF($J$19=3,$J$48,0)+IF($M$19=3,$M$48,0)+IF($P$19=3,$P$48,0)+IF($S$19=3,$S$48,0)+IF($V$19=3,$V$48,0)+IF($Y$19=3,$Y$48,0))</f>
        <v/>
      </c>
      <c r="L62" s="757"/>
      <c r="M62" s="749" t="s">
        <v>31</v>
      </c>
      <c r="N62" s="749"/>
      <c r="O62" s="756" t="str">
        <f>IF(IF($D$19=2,$D$48,0)+IF($G$19=2,$G$48,0)+IF($J$19=2,$J$48,0)+IF($M$19=2,$M$48,0)+IF($P$19=2,$P$48,0)+IF($S$19=2,$S$48,0)+IF($V$19=2,$V$48,0)+IF($Y$19=2,$Y$48,0)=0,"",IF($D$19=2,$D$48,0)+IF($G$19=2,$G$48,0)+IF($J$19=2,$J$48,0)+IF($M$19=2,$M$48,0)+IF($P$19=2,$P$48,0)+IF($S$19=2,$S$48,0)+IF($V$19=2,$V$48,0)+IF($Y$19=2,$Y$48,0))</f>
        <v/>
      </c>
      <c r="P62" s="757"/>
      <c r="Q62" s="748" t="s">
        <v>31</v>
      </c>
      <c r="R62" s="749"/>
      <c r="S62" s="756" t="str">
        <f>IF(IF($D$19=1,$D$48,0)+IF($G$19=1,$G$48,0)+IF($J$19=1,$J$48,0)+IF($M$19=1,$M$48,0)+IF($P$19=1,$P$48,0)+IF($S$19=1,$S$48,0)+IF($V$19=1,$V$48,0)+IF($Y$19=1,$Y$48,0)=0,"",IF($D$19=1,$D$48,0)+IF($G$19=1,$G$48,0)+IF($J$19=1,$J$48,0)+IF($M$19=1,$M$48,0)+IF($P$19=1,$P$48,0)+IF($S$19=1,$S$48,0)+IF($V$19=1,$V$48,0)+IF($Y$19=1,$Y$48,0))</f>
        <v/>
      </c>
      <c r="T62" s="757"/>
      <c r="U62" s="306"/>
      <c r="V62" s="748" t="s">
        <v>31</v>
      </c>
      <c r="W62" s="749"/>
      <c r="X62" s="752" t="str">
        <f>IF(IF($D$18=3,$D$48,0)+IF($G$18=3,$G$48,0)+IF($J$18=3,$J$48,0)+IF($M$18=3,$M$48,0)+IF($P$18=3,$P$48,0)+IF($S$18=3,$S$48,0)+IF($V$18=3,$V$48,0)+IF($Y$18=3,$Y$48,0)=0,"",IF($D$18=3,$D$48,0)+IF($G$18=3,$G$48,0)+IF($J$18=3,$J$48,0)+IF($M$18=3,$M$48,0)+IF($P$18=3,$P$48,0)+IF($S$18=3,$S$48,0)+IF($V$18=3,$V$48,0)+IF($Y$18=3,$Y$48,0))</f>
        <v/>
      </c>
      <c r="Y62" s="753"/>
      <c r="AA62" s="175"/>
      <c r="AB62" s="175"/>
    </row>
    <row r="63" spans="1:29" ht="14.25">
      <c r="A63" s="748" t="s">
        <v>40</v>
      </c>
      <c r="B63" s="749"/>
      <c r="C63" s="823" t="str">
        <f>IF(C62="","",ROUND(C67/C62,2))</f>
        <v/>
      </c>
      <c r="D63" s="824"/>
      <c r="E63" s="748" t="s">
        <v>40</v>
      </c>
      <c r="F63" s="749"/>
      <c r="G63" s="823" t="str">
        <f>IF(G62="","",ROUND(G67/G62,2))</f>
        <v/>
      </c>
      <c r="H63" s="823"/>
      <c r="I63" s="748" t="s">
        <v>40</v>
      </c>
      <c r="J63" s="749"/>
      <c r="K63" s="765" t="str">
        <f>IF(K62="","",ROUND(K67/K62,2))</f>
        <v/>
      </c>
      <c r="L63" s="766"/>
      <c r="M63" s="748" t="s">
        <v>40</v>
      </c>
      <c r="N63" s="749"/>
      <c r="O63" s="765" t="str">
        <f>IF(O62="","",ROUND(O67/O62,2))</f>
        <v/>
      </c>
      <c r="P63" s="766"/>
      <c r="Q63" s="748" t="s">
        <v>40</v>
      </c>
      <c r="R63" s="749"/>
      <c r="S63" s="765" t="str">
        <f>IF(S62="","",ROUND(S67/S62,2))</f>
        <v/>
      </c>
      <c r="T63" s="766"/>
      <c r="U63" s="306"/>
      <c r="V63" s="748" t="s">
        <v>40</v>
      </c>
      <c r="W63" s="749"/>
      <c r="X63" s="750" t="str">
        <f>IF(X62="","",ROUND(X67/X62,2))</f>
        <v/>
      </c>
      <c r="Y63" s="751"/>
      <c r="AA63" s="175"/>
      <c r="AB63" s="175"/>
    </row>
    <row r="64" spans="1:29" ht="14.25">
      <c r="A64" s="748" t="s">
        <v>41</v>
      </c>
      <c r="B64" s="749"/>
      <c r="C64" s="750" t="str">
        <f>IF(C62="","",Durchmessertabelle!$J$5)</f>
        <v/>
      </c>
      <c r="D64" s="751"/>
      <c r="E64" s="748" t="s">
        <v>41</v>
      </c>
      <c r="F64" s="749"/>
      <c r="G64" s="750" t="str">
        <f>IF(G62="","",Durchmessertabelle!$K$5)</f>
        <v/>
      </c>
      <c r="H64" s="750"/>
      <c r="I64" s="748" t="s">
        <v>41</v>
      </c>
      <c r="J64" s="749"/>
      <c r="K64" s="754" t="str">
        <f>IF($K$62="","",Durchmessertabelle!$L$5)</f>
        <v/>
      </c>
      <c r="L64" s="755"/>
      <c r="M64" s="748" t="s">
        <v>41</v>
      </c>
      <c r="N64" s="749"/>
      <c r="O64" s="754" t="str">
        <f>IF($O$62="","",Durchmessertabelle!$M$5)</f>
        <v/>
      </c>
      <c r="P64" s="755"/>
      <c r="Q64" s="748" t="s">
        <v>41</v>
      </c>
      <c r="R64" s="749"/>
      <c r="S64" s="767" t="str">
        <f>IF($S$62="","",Durchmessertabelle!$N$5)</f>
        <v/>
      </c>
      <c r="T64" s="768"/>
      <c r="U64" s="306"/>
      <c r="V64" s="748" t="s">
        <v>41</v>
      </c>
      <c r="W64" s="749"/>
      <c r="X64" s="750" t="str">
        <f>IF($X$62="","",Durchmessertabelle!$O$5)</f>
        <v/>
      </c>
      <c r="Y64" s="751"/>
      <c r="AA64" s="175"/>
      <c r="AB64" s="175"/>
      <c r="AC64" s="71"/>
    </row>
    <row r="65" spans="1:29" ht="15" customHeight="1">
      <c r="A65" s="748" t="s">
        <v>1007</v>
      </c>
      <c r="B65" s="749"/>
      <c r="C65" s="750" t="str">
        <f>IF(IF($D$19=4,$E$51,0)+IF($G$19=4,$H$51,0)+IF($J$19=4,$K$51,0)+IF($M$19=4,$N$51,0)+IF($P$19=4,$Q$51,0)+IF($S$19=4,$T$51,0)+IF($V$19=4,$W$51,0)+IF($Y$19=4,$Z$51,0)=0,"",IF($D$19=4,$E$51,0)+IF($G$19=4,$H$51,0)+IF($J$19=4,$K$51,0)+IF($M$19=4,$N$51,0)+IF($P$19=4,$Q$51,0)+IF($S$19=4,$T$51,0)+IF($V$19=4,$W$51,0)+IF($Y$19=4,$Z$51,0))</f>
        <v/>
      </c>
      <c r="D65" s="751"/>
      <c r="E65" s="748" t="s">
        <v>1007</v>
      </c>
      <c r="F65" s="749"/>
      <c r="G65" s="750" t="str">
        <f>IF(IF($D$19=5,$E$51,0)+IF($G$19=5,$H$51,0)+IF($J$19=5,$K$51,0)+IF($M$19=5,$N$51,0)+IF($P$19=5,$Q$51,0)+IF($S$19=5,$T$51,0)+IF($V$19=5,$W$51,0)+IF($Y$19=5,$Z$51,0)=0,"",IF($D$19=5,$E$51,0)+IF($G$19=5,$H$51,0)+IF($J$19=5,$K$51,0)+IF($M$19=5,$N$51,0)+IF($P$19=5,$Q$51,0)+IF($S$19=5,$T$51,0)+IF($V$19=5,$W$51,0)+IF($Y$19=5,$Z$51,0))</f>
        <v/>
      </c>
      <c r="H65" s="750"/>
      <c r="I65" s="758"/>
      <c r="J65" s="759"/>
      <c r="K65" s="759"/>
      <c r="L65" s="760"/>
      <c r="M65" s="758"/>
      <c r="N65" s="759"/>
      <c r="O65" s="759"/>
      <c r="P65" s="760"/>
      <c r="Q65" s="761"/>
      <c r="R65" s="762"/>
      <c r="S65" s="762"/>
      <c r="T65" s="763"/>
      <c r="U65" s="306"/>
      <c r="V65" s="748" t="s">
        <v>1007</v>
      </c>
      <c r="W65" s="749"/>
      <c r="X65" s="750" t="str">
        <f>IF(IF($D$18=3,$E$51,0)+IF($G$18=3,$H$51,0)+IF($J$18=3,$K$51,0)+IF($M$18=3,$N$51,0)+IF($P$18=3,$Q$51,0)+IF($S$18=3,$T$51,0)+IF($V$18=3,$W$51,0)+IF($Y$18=3,$Z$51,0)=0,"",IF($D$18=3,$E$51,0)+IF($G$18=3,$H$51,0)+IF($J$18=3,$K$51,0)+IF($M$18=3,$N$51,0)+IF($P$18=3,$Q$51,0)+IF($S$18=3,$T$51,0)+IF($V$18=3,$W$51,0)+IF($Y$18=3,$Z$51,0))</f>
        <v/>
      </c>
      <c r="Y65" s="751"/>
      <c r="AA65" s="175"/>
      <c r="AB65" s="175"/>
      <c r="AC65" s="71"/>
    </row>
    <row r="66" spans="1:29" ht="14.25">
      <c r="A66" s="748" t="s">
        <v>1008</v>
      </c>
      <c r="B66" s="749"/>
      <c r="C66" s="750" t="str">
        <f>IF(C67="","",C65/C67)</f>
        <v/>
      </c>
      <c r="D66" s="751"/>
      <c r="E66" s="748" t="s">
        <v>1008</v>
      </c>
      <c r="F66" s="749"/>
      <c r="G66" s="750" t="str">
        <f>IF(G67="","",G65/G67)</f>
        <v/>
      </c>
      <c r="H66" s="750"/>
      <c r="I66" s="758"/>
      <c r="J66" s="759"/>
      <c r="K66" s="759"/>
      <c r="L66" s="760"/>
      <c r="M66" s="758"/>
      <c r="N66" s="759"/>
      <c r="O66" s="759"/>
      <c r="P66" s="760"/>
      <c r="Q66" s="761"/>
      <c r="R66" s="762"/>
      <c r="S66" s="762"/>
      <c r="T66" s="763"/>
      <c r="U66" s="306"/>
      <c r="V66" s="748" t="s">
        <v>1008</v>
      </c>
      <c r="W66" s="749"/>
      <c r="X66" s="750" t="str">
        <f>IF(X67="","",X65/X67)</f>
        <v/>
      </c>
      <c r="Y66" s="751"/>
      <c r="AA66" s="175"/>
      <c r="AB66" s="175"/>
      <c r="AC66" s="71"/>
    </row>
    <row r="67" spans="1:29" s="34" customFormat="1" ht="15.75" thickBot="1">
      <c r="A67" s="769" t="s">
        <v>39</v>
      </c>
      <c r="B67" s="764"/>
      <c r="C67" s="770" t="str">
        <f>IF(IF($D$19=4,$E$52,0)+IF($G$19=4,$H$52,0)+IF($J$19=4,$K$52,0)+IF($M$19=4,$N$52,0)+IF($P$19=4,$Q$52,0)+IF($S$19=4,$T$52,0)+IF($V$19=4,$W$52,0)+IF($Y$19=4,$Z$52,0)=0,"",IF($D$19=4,$E$52,0)+IF($G$19=4,$H$52,0)+IF($J$19=4,$K$52,0)+IF($M$19=4,$N$52,0)+IF($P$19=4,$Q$52,0)+IF($S$19=4,$T$52,0)+IF($V$19=4,$W$52,0)+IF($Y$19=4,$Z$52,0))</f>
        <v/>
      </c>
      <c r="D67" s="771"/>
      <c r="E67" s="769" t="s">
        <v>39</v>
      </c>
      <c r="F67" s="764"/>
      <c r="G67" s="770" t="str">
        <f>IF(IF($D$19=5,$E$52,0)+IF($G$19=5,$H$52,0)+IF($J$19=5,$K$52,0)+IF($M$19=5,$N$52,0)+IF($P$19=5,$Q$52,0)+IF($S$19=5,$T$52,0)+IF($V$19=5,$W$52,0)+IF($Y$19=5,$Z$52,0)=0,"",IF($D$19=5,$E$52,0)+IF($G$19=5,$H$52,0)+IF($J$19=5,$K$52,0)+IF($M$19=5,$N$52,0)+IF($P$19=5,$Q$52,0)+IF($S$19=5,$T$52,0)+IF($V$19=5,$W$52,0)+IF($Y$19=5,$Z$52,0))</f>
        <v/>
      </c>
      <c r="H67" s="771"/>
      <c r="I67" s="769" t="s">
        <v>39</v>
      </c>
      <c r="J67" s="764"/>
      <c r="K67" s="770" t="str">
        <f>IF(IF($D$19=3,$E$52,0)+IF($G$19=3,$H$52,0)+IF($J$19=3,$K$52,0)+IF($M$19=3,$N$52,0)+IF($P$19=3,$Q$52,0)+IF($S$19=3,$T$52,0)+IF($V$19=3,$W$52,0)+IF($Y$19=3,$Z$52,0)=0,"",IF($D$19=3,$E$52,0)+IF($G$19=3,$H$52,0)+IF($J$19=3,$K$52,0)+IF($M$19=3,$N$52,0)+IF($P$19=3,$Q$52,0)+IF($S$19=3,$T$52,0)+IF($V$19=3,$W$52,0)+IF($Y$19=3,$Z$52,0))</f>
        <v/>
      </c>
      <c r="L67" s="771"/>
      <c r="M67" s="764" t="s">
        <v>39</v>
      </c>
      <c r="N67" s="764"/>
      <c r="O67" s="770" t="str">
        <f>IF(IF($D$19=2,$E$52,0)+IF($G$19=2,$H$52,0)+IF($J$19=2,$K$52,0)+IF($M$19=2,$N$52,0)+IF($P$19=2,$Q$52,0)+IF($S$19=2,$T$52,0)+IF($V$19=2,$W$52,0)+IF($Y$19=2,$Z$52,0)=0,"",IF($D$19=2,$E$52,0)+IF($G$19=2,$H$52,0)+IF($J$19=2,$K$52,0)+IF($M$19=2,$N$52,0)+IF($P$19=2,$Q$52,0)+IF($S$19=2,$T$52,0)+IF($V$19=2,$W$52,0)+IF($Y$19=2,$Z$52,0))</f>
        <v/>
      </c>
      <c r="P67" s="771"/>
      <c r="Q67" s="827" t="s">
        <v>39</v>
      </c>
      <c r="R67" s="828"/>
      <c r="S67" s="770" t="str">
        <f>IF(IF($D$19=1,$E$52,0)+IF($G$19=1,$H$52,0)+IF($J$19=1,$K$52,0)+IF($M$19=1,$N$52,0)+IF($P$19=1,$Q$52,0)+IF($S$19=1,$T$52,0)+IF($V$19=1,$W$52,0)+IF($Y$19=1,$Z$52,0)=0,"",IF($D$19=1,$E$52,0)+IF($G$19=1,$H$52,0)+IF($J$19=1,$K$52,0)+IF($M$19=1,$N$52,0)+IF($P$19=1,$Q$52,0)+IF($S$19=1,$T$52,0)+IF($V$19=1,$W$52,0)+IF($Y$19=1,$Z$52,0))</f>
        <v/>
      </c>
      <c r="T67" s="771"/>
      <c r="U67" s="298"/>
      <c r="V67" s="827" t="s">
        <v>39</v>
      </c>
      <c r="W67" s="828"/>
      <c r="X67" s="770" t="str">
        <f>IF(IF($D$18=3,$E$52,0)+IF($G$18=3,$H$52,0)+IF($J$18=3,$K$52,0)+IF($M$18=3,$N$52,0)+IF($P$18=3,$Q$52,0)+IF($S$18=3,$T$52,0)+IF($V$18=3,$W$52,0)+IF($Y$18=3,$Z$52,0)=0,"",IF($D$18=3,$E$52,0)+IF($G$18=3,$H$52,0)+IF($J$18=3,$K$52,0)+IF($M$18=3,$N$52,0)+IF($P$18=3,$Q$52,0)+IF($S$18=3,$T$52,0)+IF($V$18=3,$W$52,0)+IF($Y$18=3,$Z$52,0))</f>
        <v/>
      </c>
      <c r="Y67" s="771"/>
      <c r="AA67" s="175"/>
      <c r="AB67" s="175"/>
    </row>
    <row r="68" spans="1:29" s="302" customFormat="1" ht="15.75" thickBot="1">
      <c r="A68" s="298"/>
      <c r="B68" s="298"/>
      <c r="C68" s="299"/>
      <c r="D68" s="299"/>
      <c r="E68" s="298"/>
      <c r="F68" s="298"/>
      <c r="G68" s="299"/>
      <c r="H68" s="299"/>
      <c r="I68" s="298"/>
      <c r="J68" s="298"/>
      <c r="K68" s="300"/>
      <c r="L68" s="300"/>
      <c r="M68" s="298"/>
      <c r="N68" s="298"/>
      <c r="O68" s="300"/>
      <c r="P68" s="300"/>
      <c r="Q68" s="301"/>
      <c r="R68" s="301"/>
      <c r="S68" s="300"/>
      <c r="T68" s="300"/>
      <c r="U68" s="301"/>
      <c r="V68" s="301"/>
      <c r="W68" s="300"/>
      <c r="X68" s="300"/>
      <c r="Y68" s="301"/>
      <c r="Z68" s="301"/>
      <c r="AA68" s="300"/>
      <c r="AB68" s="300"/>
    </row>
    <row r="69" spans="1:29" ht="15.75" thickBot="1">
      <c r="A69" s="776" t="s">
        <v>659</v>
      </c>
      <c r="B69" s="777"/>
      <c r="C69" s="777"/>
      <c r="D69" s="777"/>
      <c r="E69" s="777"/>
      <c r="F69" s="777"/>
      <c r="G69" s="777"/>
      <c r="H69" s="777"/>
      <c r="I69" s="777"/>
      <c r="J69" s="777"/>
      <c r="K69" s="777"/>
      <c r="L69" s="777"/>
      <c r="M69" s="777"/>
      <c r="N69" s="777"/>
      <c r="O69" s="777"/>
      <c r="P69" s="777"/>
      <c r="Q69" s="777"/>
      <c r="R69" s="777"/>
      <c r="S69" s="777"/>
      <c r="T69" s="777"/>
      <c r="U69" s="777"/>
      <c r="V69" s="777"/>
      <c r="W69" s="777"/>
      <c r="X69" s="778"/>
      <c r="Y69" s="298"/>
      <c r="Z69" s="298"/>
      <c r="AA69" s="298"/>
      <c r="AB69" s="298"/>
    </row>
    <row r="70" spans="1:29" ht="15">
      <c r="A70" s="772" t="s">
        <v>681</v>
      </c>
      <c r="B70" s="773"/>
      <c r="C70" s="773"/>
      <c r="D70" s="774"/>
      <c r="E70" s="772" t="s">
        <v>682</v>
      </c>
      <c r="F70" s="773"/>
      <c r="G70" s="773"/>
      <c r="H70" s="774"/>
      <c r="I70" s="772" t="s">
        <v>683</v>
      </c>
      <c r="J70" s="773"/>
      <c r="K70" s="773"/>
      <c r="L70" s="774"/>
      <c r="M70" s="772" t="s">
        <v>684</v>
      </c>
      <c r="N70" s="773"/>
      <c r="O70" s="773"/>
      <c r="P70" s="774"/>
      <c r="Q70" s="772" t="s">
        <v>685</v>
      </c>
      <c r="R70" s="773"/>
      <c r="S70" s="773"/>
      <c r="T70" s="774"/>
      <c r="U70" s="772" t="s">
        <v>686</v>
      </c>
      <c r="V70" s="773"/>
      <c r="W70" s="773"/>
      <c r="X70" s="774"/>
      <c r="Y70" s="298"/>
      <c r="Z70" s="298"/>
      <c r="AA70" s="298"/>
      <c r="AB70" s="298"/>
    </row>
    <row r="71" spans="1:29" ht="14.25">
      <c r="A71" s="748" t="s">
        <v>31</v>
      </c>
      <c r="B71" s="749"/>
      <c r="C71" s="756" t="str">
        <f>IF(IF($D$19=7,$D$48,0)+IF($G$19=7,$G$48,0)+IF($J$19=7,$J$48,0)+IF($M$19=7,$M$48,0)+IF($P$19=7,$P$48,0)+IF($S$19=7,$S$48,0)+IF($V$19=7,$V$48,0)+IF($Y$19=7,$Y$48,0)=0,"",IF($D$19=7,$D$48,0)+IF($G$19=7,$G$48,0)+IF($J$19=7,$J$48,0)+IF($M$19=7,$M$48,0)+IF($P$19=7,$P$48,0)+IF($S$19=7,$S$48,0)+IF($V$19=7,$V$48,0)+IF($Y$19=7,$Y$48,0))</f>
        <v/>
      </c>
      <c r="D71" s="757"/>
      <c r="E71" s="748" t="s">
        <v>31</v>
      </c>
      <c r="F71" s="749"/>
      <c r="G71" s="756" t="str">
        <f>IF(IF($D$19=8,$D$48,0)+IF($G$19=8,$G$48,0)+IF($J$19=8,$J$48,0)+IF($M$19=8,$M$48,0)+IF($P$19=8,$P$48,0)+IF($S$19=8,$S$48,0)+IF($V$19=8,$V$48,0)+IF($Y$19=8,$Y$48,0)=0,"",IF($D$19=8,$D$48,0)+IF($G$19=8,$G$48,0)+IF($J$19=8,$J$48,0)+IF($M$19=8,$M$48,0)+IF($P$19=8,$P$48,0)+IF($S$19=8,$S$48,0)+IF($V$19=8,$V$48,0)+IF($Y$19=8,$Y$48,0))</f>
        <v/>
      </c>
      <c r="H71" s="757"/>
      <c r="I71" s="748" t="s">
        <v>31</v>
      </c>
      <c r="J71" s="749"/>
      <c r="K71" s="756" t="str">
        <f>IF(IF($D$19=9,$D$48,0)+IF($G$19=9,$G$48,0)+IF($J$19=9,$J$48,0)+IF($M$19=9,$M$48,0)+IF($P$19=9,$P$48,0)+IF($S$19=9,$S$48,0)+IF($V$19=9,$V$48,0)+IF($Y$19=9,$Y$48,0)=0,"",IF($D$19=9,$D$48,0)+IF($G$19=9,$G$48,0)+IF($J$19=9,$J$48,0)+IF($M$19=9,$M$48,0)+IF($P$19=9,$P$48,0)+IF($S$19=9,$S$48,0)+IF($V$19=9,$V$48,0)+IF($Y$19=9,$Y$48,0))</f>
        <v/>
      </c>
      <c r="L71" s="757"/>
      <c r="M71" s="748" t="s">
        <v>31</v>
      </c>
      <c r="N71" s="749"/>
      <c r="O71" s="756" t="str">
        <f>IF(IF($D$19=10,$D$48,0)+IF($G$19=10,$G$48,0)+IF($J$19=10,$J$48,0)+IF($M$19=10,$M$48,0)+IF($P$19=10,$P$48,0)+IF($S$19=10,$S$48,0)+IF($V$19=10,$V$48,0)+IF($Y$19=10,$Y$48,0)=0,"",IF($D$19=10,$D$48,0)+IF($G$19=10,$G$48,0)+IF($J$19=10,$J$48,0)+IF($M$19=10,$M$48,0)+IF($P$19=10,$P$48,0)+IF($S$19=10,$S$48,0)+IF($V$19=10,$V$48,0)+IF($Y$19=10,$Y$48,0))</f>
        <v/>
      </c>
      <c r="P71" s="757"/>
      <c r="Q71" s="748" t="s">
        <v>31</v>
      </c>
      <c r="R71" s="749"/>
      <c r="S71" s="756" t="str">
        <f>IF(IF($D$19=11,$D$48,0)+IF($G$19=11,$G$48,0)+IF($J$19=11,$J$48,0)+IF($M$19=11,$M$48,0)+IF($P$19=11,$P$48,0)+IF($S$19=11,$S$48,0)+IF($V$19=11,$V$48,0)+IF($Y$19=11,$Y$48,0)=0,"",IF($D$19=11,$D$48,0)+IF($G$19=11,$G$48,0)+IF($J$19=11,$J$48,0)+IF($M$19=11,$M$48,0)+IF($P$19=11,$P$48,0)+IF($S$19=11,$S$48,0)+IF($V$19=11,$V$48,0)+IF($Y$19=11,$Y$48,0))</f>
        <v/>
      </c>
      <c r="T71" s="757"/>
      <c r="U71" s="748" t="s">
        <v>31</v>
      </c>
      <c r="V71" s="749"/>
      <c r="W71" s="756" t="str">
        <f>IF(IF($D$19=12,$D$48,0)+IF($G$19=12,$G$48,0)+IF($J$19=12,$J$48,0)+IF($M$19=12,$M$48,0)+IF($P$19=12,$P$48,0)+IF($S$19=12,$S$48,0)+IF($V$19=12,$V$48,0)+IF($Y$19=12,$Y$48,0)=0,"",IF($D$19=12,$D$48,0)+IF($G$19=12,$G$48,0)+IF($J$19=12,$J$48,0)+IF($M$19=12,$M$48,0)+IF($P$19=12,$P$48,0)+IF($S$19=12,$S$48,0)+IF($V$19=12,$V$48,0)+IF($Y$19=12,$Y$48,0))</f>
        <v/>
      </c>
      <c r="X71" s="757"/>
      <c r="Y71" s="306"/>
      <c r="Z71" s="306"/>
      <c r="AA71" s="306"/>
      <c r="AB71" s="311"/>
    </row>
    <row r="72" spans="1:29" ht="14.25">
      <c r="A72" s="748" t="s">
        <v>40</v>
      </c>
      <c r="B72" s="749"/>
      <c r="C72" s="823" t="str">
        <f>IF(C71="","",ROUND(C74/C71,2))</f>
        <v/>
      </c>
      <c r="D72" s="824"/>
      <c r="E72" s="748" t="s">
        <v>40</v>
      </c>
      <c r="F72" s="749"/>
      <c r="G72" s="823" t="str">
        <f>IF(G71="","",ROUND(G74/G71,2))</f>
        <v/>
      </c>
      <c r="H72" s="824"/>
      <c r="I72" s="748" t="s">
        <v>40</v>
      </c>
      <c r="J72" s="749"/>
      <c r="K72" s="765" t="str">
        <f>IF(K71="","",ROUND(K74/K71,2))</f>
        <v/>
      </c>
      <c r="L72" s="766"/>
      <c r="M72" s="748" t="s">
        <v>40</v>
      </c>
      <c r="N72" s="749"/>
      <c r="O72" s="765" t="str">
        <f>IF(O71="","",ROUND(O74/O71,2))</f>
        <v/>
      </c>
      <c r="P72" s="766"/>
      <c r="Q72" s="748" t="s">
        <v>40</v>
      </c>
      <c r="R72" s="749"/>
      <c r="S72" s="765" t="str">
        <f>IF(S71="","",ROUND(S74/S71,2))</f>
        <v/>
      </c>
      <c r="T72" s="766"/>
      <c r="U72" s="748" t="s">
        <v>40</v>
      </c>
      <c r="V72" s="749"/>
      <c r="W72" s="765" t="str">
        <f>IF(W71="","",ROUND(W74/W71,2))</f>
        <v/>
      </c>
      <c r="X72" s="766"/>
      <c r="Y72" s="306"/>
      <c r="Z72" s="306"/>
      <c r="AA72" s="306"/>
      <c r="AB72" s="72"/>
    </row>
    <row r="73" spans="1:29" ht="14.25">
      <c r="A73" s="748" t="s">
        <v>41</v>
      </c>
      <c r="B73" s="749"/>
      <c r="C73" s="750" t="str">
        <f>IF($C$71="","",Durchmessertabelle!P5)</f>
        <v/>
      </c>
      <c r="D73" s="751"/>
      <c r="E73" s="748" t="s">
        <v>41</v>
      </c>
      <c r="F73" s="749"/>
      <c r="G73" s="750" t="str">
        <f>IF($G$71="","",Durchmessertabelle!Q5)</f>
        <v/>
      </c>
      <c r="H73" s="751"/>
      <c r="I73" s="748" t="s">
        <v>41</v>
      </c>
      <c r="J73" s="749"/>
      <c r="K73" s="754" t="str">
        <f>IF($K$71="","",Durchmessertabelle!$R$5)</f>
        <v/>
      </c>
      <c r="L73" s="755"/>
      <c r="M73" s="748" t="s">
        <v>41</v>
      </c>
      <c r="N73" s="749"/>
      <c r="O73" s="754" t="str">
        <f>IF($O$71="","",Durchmessertabelle!$S$5)</f>
        <v/>
      </c>
      <c r="P73" s="755"/>
      <c r="Q73" s="748" t="s">
        <v>41</v>
      </c>
      <c r="R73" s="749"/>
      <c r="S73" s="767" t="str">
        <f>IF(S71="","",Durchmessertabelle!$T$5)</f>
        <v/>
      </c>
      <c r="T73" s="768"/>
      <c r="U73" s="748" t="s">
        <v>41</v>
      </c>
      <c r="V73" s="749"/>
      <c r="W73" s="754" t="str">
        <f>IF(W71="","",Durchmessertabelle!$U$5)</f>
        <v/>
      </c>
      <c r="X73" s="755"/>
      <c r="Y73" s="306"/>
      <c r="Z73" s="306"/>
      <c r="AA73" s="306"/>
      <c r="AB73" s="72"/>
    </row>
    <row r="74" spans="1:29" s="34" customFormat="1" ht="15.75" thickBot="1">
      <c r="A74" s="769" t="s">
        <v>39</v>
      </c>
      <c r="B74" s="764"/>
      <c r="C74" s="829" t="str">
        <f>IF(IF($D$19=7,$E$52,0)+IF($G$19=7,$H$52,0)+IF($J$19=7,$K$52,0)+IF($M$19=7,$N$52,0)+IF($P$19=7,$Q$52,0)+IF($S$19=7,$T$52,0)+IF($V$19=7,$W$52,0)+IF($Y$19=7,$Z$52,0)=0,"",IF($D$19=7,$E$52,0)+IF($G$19=7,$H$52,0)+IF($J$19=7,$K$52,0)+IF($M$19=7,$N$52,0)+IF($P$19=7,$Q$52,0)+IF($S$19=7,$T$52,0)+IF($V$19=7,$W$52,0)+IF($Y$19=7,$Z$52,0))</f>
        <v/>
      </c>
      <c r="D74" s="830"/>
      <c r="E74" s="769" t="s">
        <v>39</v>
      </c>
      <c r="F74" s="764"/>
      <c r="G74" s="829" t="str">
        <f>IF(IF($D$19=8,$E$52,0)+IF($G$19=8,$H$52,0)+IF($J$19=8,$K$52,0)+IF($M$19=8,$N$52,0)+IF($P$19=8,$Q$52,0)+IF($S$19=8,$T$52,0)+IF($V$19=8,$W$52,0)+IF($Y$19=8,$Z$52,0)=0,"",IF($D$19=8,$E$52,0)+IF($G$19=8,$H$52,0)+IF($J$19=8,$K$52,0)+IF($M$19=8,$N$52,0)+IF($P$19=8,$Q$52,0)+IF($S$19=8,$T$52,0)+IF($V$19=8,$W$52,0)+IF($Y$19=8,$Z$52,0))</f>
        <v/>
      </c>
      <c r="H74" s="830"/>
      <c r="I74" s="769" t="s">
        <v>39</v>
      </c>
      <c r="J74" s="764"/>
      <c r="K74" s="829" t="str">
        <f>IF(IF($D$19=9,$E$52,0)+IF($G$19=9,$H$52,0)+IF($J$19=9,$K$52,0)+IF($M$19=9,$N$52,0)+IF($P$19=9,$Q$52,0)+IF($S$19=9,$T$52,0)+IF($V$19=9,$W$52,0)+IF($Y$19=9,$Z$52,0)=0,"",IF($D$19=9,$E$52,0)+IF($G$19=9,$H$52,0)+IF($J$19=9,$K$52,0)+IF($M$19=9,$N$52,0)+IF($P$19=9,$Q$52,0)+IF($S$19=9,$T$52,0)+IF($V$19=9,$W$52,0)+IF($Y$19=9,$Z$52,0))</f>
        <v/>
      </c>
      <c r="L74" s="830"/>
      <c r="M74" s="769" t="s">
        <v>39</v>
      </c>
      <c r="N74" s="764"/>
      <c r="O74" s="829" t="str">
        <f>IF(IF($D$19=10,$E$52,0)+IF($G$19=10,$H$52,0)+IF($J$19=10,$K$52,0)+IF($M$19=10,$N$52,0)+IF($P$19=10,$Q$52,0)+IF($S$19=10,$T$52,0)+IF($V$19=10,$W$52,0)+IF($Y$19=10,$Z$52,0)=0,"",IF($D$19=10,$E$52,0)+IF($G$19=10,$H$52,0)+IF($J$19=10,$K$52,0)+IF($M$19=10,$N$52,0)+IF($P$19=10,$Q$52,0)+IF($S$19=10,$T$52,0)+IF($V$19=10,$W$52,0)+IF($Y$19=10,$Z$52,0))</f>
        <v/>
      </c>
      <c r="P74" s="830"/>
      <c r="Q74" s="827" t="s">
        <v>39</v>
      </c>
      <c r="R74" s="828"/>
      <c r="S74" s="829" t="str">
        <f>IF(IF($D$19=11,$E$52,0)+IF($G$19=11,$H$52,0)+IF($J$19=11,$K$52,0)+IF($M$19=11,$N$52,0)+IF($P$19=11,$Q$52,0)+IF($S$19=11,$T$52,0)+IF($V$19=11,$W$52,0)+IF($Y$19=11,$Z$52,0)=0,"",IF($D$19=11,$E$52,0)+IF($G$19=11,$H$52,0)+IF($J$19=11,$K$52,0)+IF($M$19=11,$N$52,0)+IF($P$19=11,$Q$52,0)+IF($S$19=11,$T$52,0)+IF($V$19=11,$W$52,0)+IF($Y$19=11,$Z$52,0))</f>
        <v/>
      </c>
      <c r="T74" s="830"/>
      <c r="U74" s="827" t="s">
        <v>39</v>
      </c>
      <c r="V74" s="828"/>
      <c r="W74" s="829" t="str">
        <f>IF(IF($D$19=12,$E$52,0)+IF($G$19=12,$H$52,0)+IF($J$19=12,$K$52,0)+IF($M$19=12,$N$52,0)+IF($P$19=12,$Q$52,0)+IF($S$19=12,$T$52,0)+IF($V$19=12,$W$52,0)+IF($Y$19=12,$Z$52,0)=0,"",IF($D$19=12,$E$52,0)+IF($G$19=12,$H$52,0)+IF($J$19=12,$K$52,0)+IF($M$19=12,$N$52,0)+IF($P$19=12,$Q$52,0)+IF($S$19=12,$T$52,0)+IF($V$19=12,$W$52,0)+IF($Y$19=12,$Z$52,0))</f>
        <v/>
      </c>
      <c r="X74" s="830"/>
      <c r="Y74" s="298"/>
      <c r="Z74" s="298"/>
      <c r="AA74" s="299"/>
      <c r="AB74" s="299"/>
    </row>
    <row r="75" spans="1:29" s="34" customFormat="1" ht="3.75" customHeight="1" thickBot="1">
      <c r="A75" s="298"/>
      <c r="B75" s="298"/>
      <c r="C75" s="312"/>
      <c r="D75" s="312"/>
      <c r="E75" s="298"/>
      <c r="F75" s="298"/>
      <c r="G75" s="312"/>
      <c r="H75" s="312"/>
      <c r="I75" s="298"/>
      <c r="J75" s="298"/>
      <c r="K75" s="312"/>
      <c r="L75" s="312"/>
      <c r="M75" s="298"/>
      <c r="N75" s="298"/>
      <c r="O75" s="312"/>
      <c r="P75" s="312"/>
      <c r="Q75" s="301"/>
      <c r="R75" s="301"/>
      <c r="S75" s="312"/>
      <c r="T75" s="312"/>
      <c r="U75" s="301"/>
      <c r="V75" s="301"/>
      <c r="W75" s="312"/>
      <c r="X75" s="312"/>
      <c r="Y75" s="298"/>
      <c r="Z75" s="298"/>
      <c r="AA75" s="299"/>
      <c r="AB75" s="299"/>
    </row>
    <row r="76" spans="1:29" ht="15">
      <c r="A76" s="772" t="s">
        <v>687</v>
      </c>
      <c r="B76" s="773"/>
      <c r="C76" s="773"/>
      <c r="D76" s="774"/>
      <c r="E76" s="772" t="s">
        <v>688</v>
      </c>
      <c r="F76" s="773"/>
      <c r="G76" s="773"/>
      <c r="H76" s="774"/>
      <c r="I76" s="772" t="s">
        <v>689</v>
      </c>
      <c r="J76" s="773"/>
      <c r="K76" s="773"/>
      <c r="L76" s="774"/>
      <c r="M76" s="772" t="s">
        <v>690</v>
      </c>
      <c r="N76" s="773"/>
      <c r="O76" s="773"/>
      <c r="P76" s="774"/>
      <c r="Q76" s="772" t="s">
        <v>691</v>
      </c>
      <c r="R76" s="773"/>
      <c r="S76" s="773"/>
      <c r="T76" s="774"/>
      <c r="U76" s="773" t="s">
        <v>692</v>
      </c>
      <c r="V76" s="773"/>
      <c r="W76" s="773"/>
      <c r="X76" s="774"/>
      <c r="Y76" s="298"/>
      <c r="Z76" s="298"/>
      <c r="AA76" s="298"/>
      <c r="AB76" s="298"/>
    </row>
    <row r="77" spans="1:29" ht="14.25">
      <c r="A77" s="748" t="s">
        <v>31</v>
      </c>
      <c r="B77" s="749"/>
      <c r="C77" s="752" t="str">
        <f>IF(IF($D$19=13,$D$48,0)+IF($G$19=13,$G$48,0)+IF($J$19=13,$J$48,0)+IF($M$19=13,$M$48,0)+IF($P$19=13,$P$48,0)+IF($S$19=13,$S$48,0)+IF($V$19=13,$V$48,0)+IF($Y$19=13,$Y$48,0)=0,"",IF($D$19=13,$D$48,0)+IF($G$19=13,$G$48,0)+IF($J$19=13,$J$48,0)+IF($M$19=13,$M$48,0)+IF($P$19=13,$P$48,0)+IF($S$19=13,$S$48,0)+IF($V$19=13,$V$48,0)+IF($Y$19=13,$Y$48,0))</f>
        <v/>
      </c>
      <c r="D77" s="753"/>
      <c r="E77" s="748" t="s">
        <v>31</v>
      </c>
      <c r="F77" s="749"/>
      <c r="G77" s="752" t="str">
        <f>IF(IF($D$19=14,$D$48,0)+IF($G$19=14,$G$48,0)+IF($J$19=14,$J$48,0)+IF($M$19=14,$M$48,0)+IF($P$19=14,$P$48,0)+IF($S$19=14,$S$48,0)+IF($V$19=14,$V$48,0)+IF($Y$19=14,$Y$48,0)=0,"",IF($D$19=14,$D$48,0)+IF($G$19=14,$G$48,0)+IF($J$19=14,$J$48,0)+IF($M$19=14,$M$48,0)+IF($P$19=14,$P$48,0)+IF($S$19=14,$S$48,0)+IF($V$19=14,$V$48,0)+IF($Y$19=14,$Y$48,0))</f>
        <v/>
      </c>
      <c r="H77" s="753"/>
      <c r="I77" s="748" t="s">
        <v>31</v>
      </c>
      <c r="J77" s="749"/>
      <c r="K77" s="752" t="str">
        <f>IF(IF($D$19=15,$D$48,0)+IF($G$19=15,$G$48,0)+IF($J$19=15,$J$48,0)+IF($M$19=15,$M$48,0)+IF($P$19=15,$P$48,0)+IF($S$19=15,$S$48,0)+IF($V$19=15,$V$48,0)+IF($Y$19=15,$Y$48,0)=0,"",IF($D$19=15,$D$48,0)+IF($G$19=15,$G$48,0)+IF($J$19=15,$J$48,0)+IF($M$19=15,$M$48,0)+IF($P$19=15,$P$48,0)+IF($S$19=15,$S$48,0)+IF($V$19=15,$V$48,0)+IF($Y$19=15,$Y$48,0))</f>
        <v/>
      </c>
      <c r="L77" s="753"/>
      <c r="M77" s="748" t="s">
        <v>31</v>
      </c>
      <c r="N77" s="749"/>
      <c r="O77" s="752" t="str">
        <f>IF(IF($D$19=16,$D$48,0)+IF($G$19=16,$G$48,0)+IF($J$19=16,$J$48,0)+IF($M$19=16,$M$48,0)+IF($P$19=16,$P$48,0)+IF($S$19=16,$S$48,0)+IF($V$19=16,$V$48,0)+IF($Y$19=16,$Y$48,0)=0,"",IF($D$19=16,$D$48,0)+IF($G$19=16,$G$48,0)+IF($J$19=16,$J$48,0)+IF($M$19=16,$M$48,0)+IF($P$19=16,$P$48,0)+IF($S$19=16,$S$48,0)+IF($V$19=16,$V$48,0)+IF($Y$19=16,$Y$48,0))</f>
        <v/>
      </c>
      <c r="P77" s="753"/>
      <c r="Q77" s="748" t="s">
        <v>31</v>
      </c>
      <c r="R77" s="749"/>
      <c r="S77" s="752" t="str">
        <f>IF(IF($D$19=17,$D$48,0)+IF($G$19=17,$G$48,0)+IF($J$19=17,$J$48,0)+IF($M$19=17,$M$48,0)+IF($P$19=17,$P$48,0)+IF($S$19=17,$S$48,0)+IF($V$19=17,$V$48,0)+IF($Y$19=17,$Y$48,0)=0,"",IF($D$19=17,$D$48,0)+IF($G$19=17,$G$48,0)+IF($J$19=17,$J$48,0)+IF($M$19=17,$M$48,0)+IF($P$19=17,$P$48,0)+IF($S$19=17,$S$48,0)+IF($V$19=17,$V$48,0)+IF($Y$19=17,$Y$48,0))</f>
        <v/>
      </c>
      <c r="T77" s="753"/>
      <c r="U77" s="749" t="s">
        <v>31</v>
      </c>
      <c r="V77" s="749"/>
      <c r="W77" s="752" t="str">
        <f>IF(IF($D$19=18,$D$48,0)+IF($G$19=18,$G$48,0)+IF($J$19=18,$J$48,0)+IF($M$19=18,$M$48,0)+IF($P$19=18,$P$48,0)+IF($S$19=18,$S$48,0)+IF($V$19=18,$V$48,0)+IF($Y$19=18,$Y$48,0)=0,"",IF($D$19=18,$D$48,0)+IF($G$19=18,$G$48,0)+IF($J$19=18,$J$48,0)+IF($M$19=18,$M$48,0)+IF($P$19=18,$P$48,0)+IF($S$19=18,$S$48,0)+IF($V$19=18,$V$48,0)+IF($Y$19=18,$Y$48,0))</f>
        <v/>
      </c>
      <c r="X77" s="753"/>
      <c r="Y77" s="306"/>
      <c r="Z77" s="306"/>
      <c r="AA77" s="306"/>
      <c r="AB77" s="311"/>
    </row>
    <row r="78" spans="1:29" ht="14.25">
      <c r="A78" s="748" t="s">
        <v>40</v>
      </c>
      <c r="B78" s="749"/>
      <c r="C78" s="750" t="str">
        <f>IF(C77="","",ROUND(C82/C77,2))</f>
        <v/>
      </c>
      <c r="D78" s="751"/>
      <c r="E78" s="748" t="s">
        <v>40</v>
      </c>
      <c r="F78" s="749"/>
      <c r="G78" s="750" t="str">
        <f>IF(G77="","",ROUND(G82/G77,2))</f>
        <v/>
      </c>
      <c r="H78" s="751"/>
      <c r="I78" s="748" t="s">
        <v>40</v>
      </c>
      <c r="J78" s="749"/>
      <c r="K78" s="750" t="str">
        <f>IF(K77="","",ROUND(K82/K77,2))</f>
        <v/>
      </c>
      <c r="L78" s="751"/>
      <c r="M78" s="748" t="s">
        <v>40</v>
      </c>
      <c r="N78" s="749"/>
      <c r="O78" s="750" t="str">
        <f>IF(O77="","",ROUND(O82/O77,2))</f>
        <v/>
      </c>
      <c r="P78" s="751"/>
      <c r="Q78" s="748" t="s">
        <v>40</v>
      </c>
      <c r="R78" s="749"/>
      <c r="S78" s="750" t="str">
        <f>IF(S77="","",ROUND(S82/S77,2))</f>
        <v/>
      </c>
      <c r="T78" s="751"/>
      <c r="U78" s="748" t="s">
        <v>40</v>
      </c>
      <c r="V78" s="749"/>
      <c r="W78" s="750" t="str">
        <f>IF(W77="","",ROUND(W82/W77,2))</f>
        <v/>
      </c>
      <c r="X78" s="751"/>
      <c r="Y78" s="306"/>
      <c r="Z78" s="306"/>
      <c r="AA78" s="306"/>
      <c r="AB78" s="72"/>
    </row>
    <row r="79" spans="1:29" ht="14.25">
      <c r="A79" s="748" t="s">
        <v>41</v>
      </c>
      <c r="B79" s="749"/>
      <c r="C79" s="750" t="str">
        <f>IF(C77="","",Durchmessertabelle!$V$5)</f>
        <v/>
      </c>
      <c r="D79" s="751"/>
      <c r="E79" s="748" t="s">
        <v>41</v>
      </c>
      <c r="F79" s="749"/>
      <c r="G79" s="750" t="str">
        <f>IF(G77="","",Durchmessertabelle!$W$5)</f>
        <v/>
      </c>
      <c r="H79" s="751"/>
      <c r="I79" s="748" t="s">
        <v>41</v>
      </c>
      <c r="J79" s="749"/>
      <c r="K79" s="750" t="str">
        <f>IF(K77="","",Durchmessertabelle!$X$5)</f>
        <v/>
      </c>
      <c r="L79" s="751"/>
      <c r="M79" s="748" t="s">
        <v>41</v>
      </c>
      <c r="N79" s="749"/>
      <c r="O79" s="750" t="str">
        <f>IF(O77="","",Durchmessertabelle!$Y$5)</f>
        <v/>
      </c>
      <c r="P79" s="751"/>
      <c r="Q79" s="748" t="s">
        <v>41</v>
      </c>
      <c r="R79" s="749"/>
      <c r="S79" s="750" t="str">
        <f>IF(S77="","",Durchmessertabelle!$Z$5)</f>
        <v/>
      </c>
      <c r="T79" s="751"/>
      <c r="U79" s="748" t="s">
        <v>41</v>
      </c>
      <c r="V79" s="749"/>
      <c r="W79" s="750" t="str">
        <f>IF(W77="","",Durchmessertabelle!$AA$5)</f>
        <v/>
      </c>
      <c r="X79" s="751"/>
      <c r="Y79" s="306"/>
      <c r="Z79" s="306"/>
      <c r="AA79" s="306"/>
      <c r="AB79" s="72"/>
    </row>
    <row r="80" spans="1:29" ht="14.25">
      <c r="A80" s="748" t="s">
        <v>1007</v>
      </c>
      <c r="B80" s="749"/>
      <c r="C80" s="750" t="str">
        <f>IF(IF($D$19=13,$E$51,0)+IF($G$19=13,$H$51,0)+IF($J$19=13,$K$51,0)+IF($M$19=13,$N$51,0)+IF($P$19=13,$Q$51,0)+IF($S$19=13,$T$51,0)+IF($V$19=13,$W$51,0)+IF($Y$19=13,$Z$51,0)=0,"",IF($D$19=13,$E$51,0)+IF($G$19=13,$H$51,0)+IF($J$19=13,$K$51,0)+IF($M$19=13,$N$51,0)+IF($P$19=13,$Q$51,0)+IF($S$19=13,$T$51,0)+IF($V$19=13,$W$51,0)+IF($Y$19=13,$Z$51,0))</f>
        <v/>
      </c>
      <c r="D80" s="751"/>
      <c r="E80" s="748" t="s">
        <v>1007</v>
      </c>
      <c r="F80" s="749"/>
      <c r="G80" s="750" t="str">
        <f>IF(IF($D$19=14,$E$51,0)+IF($G$19=14,$H$51,0)+IF($J$19=14,$K$51,0)+IF($M$19=14,$N$51,0)+IF($P$19=14,$Q$51,0)+IF($S$19=14,$T$51,0)+IF($V$19=14,$W$51,0)+IF($Y$19=14,$Z$51,0)=0,"",IF($D$19=14,$E$51,0)+IF($G$19=14,$H$51,0)+IF($J$19=14,$K$51,0)+IF($M$19=14,$N$51,0)+IF($P$19=14,$Q$51,0)+IF($S$19=14,$T$51,0)+IF($V$19=14,$W$51,0)+IF($Y$19=14,$Z$51,0))</f>
        <v/>
      </c>
      <c r="H80" s="751"/>
      <c r="I80" s="748" t="s">
        <v>1007</v>
      </c>
      <c r="J80" s="749"/>
      <c r="K80" s="750" t="str">
        <f>IF(IF($D$19=15,$E$51,0)+IF($G$19=15,$H$51,0)+IF($J$19=15,$K$51,0)+IF($M$19=15,$N$51,0)+IF($P$19=15,$Q$51,0)+IF($S$19=15,$T$51,0)+IF($V$19=15,$W$51,0)+IF($Y$19=15,$Z$51,0)=0,"",IF($D$19=15,$E$51,0)+IF($G$19=15,$H$51,0)+IF($J$19=15,$K$51,0)+IF($M$19=15,$N$51,0)+IF($P$19=15,$Q$51,0)+IF($S$19=15,$T$51,0)+IF($V$19=15,$W$51,0)+IF($Y$19=15,$Z$51,0))</f>
        <v/>
      </c>
      <c r="L80" s="751"/>
      <c r="M80" s="748" t="s">
        <v>1007</v>
      </c>
      <c r="N80" s="749"/>
      <c r="O80" s="750" t="str">
        <f>IF(IF($D$19=16,$E$51,0)+IF($G$19=16,$H$51,0)+IF($J$19=16,$K$51,0)+IF($M$19=16,$N$51,0)+IF($P$19=16,$Q$51,0)+IF($S$19=16,$T$51,0)+IF($V$19=16,$W$51,0)+IF($Y$19=16,$Z$51,0)=0,"",IF($D$19=16,$E$51,0)+IF($G$19=16,$H$51,0)+IF($J$19=16,$K$51,0)+IF($M$19=16,$N$51,0)+IF($P$19=16,$Q$51,0)+IF($S$19=16,$T$51,0)+IF($V$19=16,$W$51,0)+IF($Y$19=16,$Z$51,0))</f>
        <v/>
      </c>
      <c r="P80" s="751"/>
      <c r="Q80" s="748" t="s">
        <v>1007</v>
      </c>
      <c r="R80" s="749"/>
      <c r="S80" s="750" t="str">
        <f>IF(IF($D$19=17,$E$51,0)+IF($G$19=17,$H$51,0)+IF($J$19=17,$K$51,0)+IF($M$19=17,$N$51,0)+IF($P$19=17,$Q$51,0)+IF($S$19=17,$T$51,0)+IF($V$19=17,$W$51,0)+IF($Y$19=17,$Z$51,0)=0,"",IF($D$19=17,$E$51,0)+IF($G$19=17,$H$51,0)+IF($J$19=17,$K$51,0)+IF($M$19=17,$N$51,0)+IF($P$19=17,$Q$51,0)+IF($S$19=17,$T$51,0)+IF($V$19=17,$W$51,0)+IF($Y$19=17,$Z$51,0))</f>
        <v/>
      </c>
      <c r="T80" s="751"/>
      <c r="U80" s="749" t="s">
        <v>1007</v>
      </c>
      <c r="V80" s="749"/>
      <c r="W80" s="750" t="str">
        <f>IF(IF($D$19=18,$E$51,0)+IF($G$19=18,$H$51,0)+IF($J$19=18,$K$51,0)+IF($M$19=18,$N$51,0)+IF($P$19=18,$Q$51,0)+IF($S$19=18,$T$51,0)+IF($V$19=18,$W$51,0)+IF($Y$19=18,$Z$51,0)=0,"",IF($D$19=18,$E$51,0)+IF($G$19=18,$H$51,0)+IF($J$19=18,$K$51,0)+IF($M$19=18,$N$51,0)+IF($P$19=18,$Q$51,0)+IF($S$19=18,$T$51,0)+IF($V$19=18,$W$51,0)+IF($Y$19=18,$Z$51,0))</f>
        <v/>
      </c>
      <c r="X80" s="751"/>
      <c r="Y80" s="306"/>
      <c r="Z80" s="306"/>
      <c r="AA80" s="306"/>
      <c r="AB80" s="72"/>
    </row>
    <row r="81" spans="1:28" ht="14.25">
      <c r="A81" s="748" t="s">
        <v>1008</v>
      </c>
      <c r="B81" s="749"/>
      <c r="C81" s="750" t="str">
        <f>IF(C82="","",C80/C82)</f>
        <v/>
      </c>
      <c r="D81" s="751"/>
      <c r="E81" s="748" t="s">
        <v>1008</v>
      </c>
      <c r="F81" s="749"/>
      <c r="G81" s="750" t="str">
        <f>IF(G82="","",G80/G82)</f>
        <v/>
      </c>
      <c r="H81" s="751"/>
      <c r="I81" s="748" t="s">
        <v>1008</v>
      </c>
      <c r="J81" s="749"/>
      <c r="K81" s="750" t="str">
        <f>IF(K82="","",K80/K82)</f>
        <v/>
      </c>
      <c r="L81" s="751"/>
      <c r="M81" s="748" t="s">
        <v>1008</v>
      </c>
      <c r="N81" s="749"/>
      <c r="O81" s="750" t="str">
        <f>IF(O82="","",O80/O82)</f>
        <v/>
      </c>
      <c r="P81" s="751"/>
      <c r="Q81" s="748" t="s">
        <v>1008</v>
      </c>
      <c r="R81" s="749"/>
      <c r="S81" s="750" t="str">
        <f>IF(S82="","",S80/S82)</f>
        <v/>
      </c>
      <c r="T81" s="751"/>
      <c r="U81" s="749" t="s">
        <v>1008</v>
      </c>
      <c r="V81" s="749"/>
      <c r="W81" s="750" t="str">
        <f>IF(W82="","",W80/W82)</f>
        <v/>
      </c>
      <c r="X81" s="751"/>
      <c r="Y81" s="306"/>
      <c r="Z81" s="306"/>
      <c r="AA81" s="306"/>
      <c r="AB81" s="72"/>
    </row>
    <row r="82" spans="1:28" s="34" customFormat="1" ht="15.75" thickBot="1">
      <c r="A82" s="769" t="s">
        <v>39</v>
      </c>
      <c r="B82" s="764"/>
      <c r="C82" s="770" t="str">
        <f>IF(IF($D$19=13,$E$52,0)+IF($G$19=13,$H$52,0)+IF($J$19=13,$K$52,0)+IF($M$19=13,$N$52,0)+IF($P$19=13,$Q$52,0)+IF($S$19=13,$T$52,0)+IF($V$19=13,$W$52,0)+IF($Y$19=13,$Z$52,0)=0,"",IF($D$19=13,$E$52,0)+IF($G$19=13,$H$52,0)+IF($J$19=13,$K$52,0)+IF($M$19=13,$N$52,0)+IF($P$19=13,$Q$52,0)+IF($S$19=13,$T$52,0)+IF($V$19=13,$W$52,0)+IF($Y$19=13,$Z$52,0))</f>
        <v/>
      </c>
      <c r="D82" s="771"/>
      <c r="E82" s="769" t="s">
        <v>39</v>
      </c>
      <c r="F82" s="764"/>
      <c r="G82" s="770" t="str">
        <f>IF(IF($D$19=14,$E$52,0)+IF($G$19=14,$H$52,0)+IF($J$19=14,$K$52,0)+IF($M$19=14,$N$52,0)+IF($P$19=14,$Q$52,0)+IF($S$19=14,$T$52,0)+IF($V$19=14,$W$52,0)+IF($Y$19=14,$Z$52,0)=0,"",IF($D$19=14,$E$52,0)+IF($G$19=14,$H$52,0)+IF($J$19=14,$K$52,0)+IF($M$19=14,$N$52,0)+IF($P$19=14,$Q$52,0)+IF($S$19=14,$T$52,0)+IF($V$19=14,$W$52,0)+IF($Y$19=14,$Z$52,0))</f>
        <v/>
      </c>
      <c r="H82" s="771"/>
      <c r="I82" s="769" t="s">
        <v>39</v>
      </c>
      <c r="J82" s="764"/>
      <c r="K82" s="770" t="str">
        <f>IF(IF($D$19=15,$E$52,0)+IF($G$19=15,$H$52,0)+IF($J$19=15,$K$52,0)+IF($M$19=15,$N$52,0)+IF($P$19=15,$Q$52,0)+IF($S$19=15,$T$52,0)+IF($V$19=15,$W$52,0)+IF($Y$19=15,$Z$52,0)=0,"",IF($D$19=15,$E$52,0)+IF($G$19=15,$H$52,0)+IF($J$19=15,$K$52,0)+IF($M$19=15,$N$52,0)+IF($P$19=15,$Q$52,0)+IF($S$19=15,$T$52,0)+IF($V$19=15,$W$52,0)+IF($Y$19=15,$Z$52,0))</f>
        <v/>
      </c>
      <c r="L82" s="771"/>
      <c r="M82" s="769" t="s">
        <v>39</v>
      </c>
      <c r="N82" s="764"/>
      <c r="O82" s="770" t="str">
        <f>IF(IF($D$19=16,$E$52,0)+IF($G$19=16,$H$52,0)+IF($J$19=16,$K$52,0)+IF($M$19=16,$N$52,0)+IF($P$19=16,$Q$52,0)+IF($S$19=16,$T$52,0)+IF($V$19=16,$W$52,0)+IF($Y$19=16,$Z$52,0)=0,"",IF($D$19=16,$E$52,0)+IF($G$19=16,$H$52,0)+IF($J$19=16,$K$52,0)+IF($M$19=16,$N$52,0)+IF($P$19=16,$Q$52,0)+IF($S$19=16,$T$52,0)+IF($V$19=16,$W$52,0)+IF($Y$19=16,$Z$52,0))</f>
        <v/>
      </c>
      <c r="P82" s="771"/>
      <c r="Q82" s="827" t="s">
        <v>39</v>
      </c>
      <c r="R82" s="828"/>
      <c r="S82" s="770" t="str">
        <f>IF(IF($D$19=17,$E$52,0)+IF($G$19=17,$H$52,0)+IF($J$19=17,$K$52,0)+IF($M$19=17,$N$52,0)+IF($P$19=17,$Q$52,0)+IF($S$19=17,$T$52,0)+IF($V$19=17,$W$52,0)+IF($Y$19=17,$Z$52,0)=0,"",IF($D$19=17,$E$52,0)+IF($G$19=17,$H$52,0)+IF($J$19=17,$K$52,0)+IF($M$19=17,$N$52,0)+IF($P$19=17,$Q$52,0)+IF($S$19=17,$T$52,0)+IF($V$19=17,$W$52,0)+IF($Y$19=17,$Z$52,0))</f>
        <v/>
      </c>
      <c r="T82" s="771"/>
      <c r="U82" s="828" t="s">
        <v>39</v>
      </c>
      <c r="V82" s="828"/>
      <c r="W82" s="770" t="str">
        <f>IF(IF($D$19=18,$E$52,0)+IF($G$19=18,$H$52,0)+IF($J$19=18,$K$52,0)+IF($M$19=18,$N$52,0)+IF($P$19=18,$Q$52,0)+IF($S$19=18,$T$52,0)+IF($V$19=18,$W$52,0)+IF($Y$19=18,$Z$52,0)=0,"",IF($D$19=18,$E$52,0)+IF($G$19=18,$H$52,0)+IF($J$19=18,$K$52,0)+IF($M$19=18,$N$52,0)+IF($P$19=18,$Q$52,0)+IF($S$19=18,$T$52,0)+IF($V$19=18,$W$52,0)+IF($Y$19=18,$Z$52,0))</f>
        <v/>
      </c>
      <c r="X82" s="771"/>
      <c r="Y82" s="298"/>
      <c r="Z82" s="298"/>
      <c r="AA82" s="299"/>
      <c r="AB82" s="299"/>
    </row>
    <row r="83" spans="1:28" s="303" customFormat="1" ht="6" customHeight="1">
      <c r="C83" s="304"/>
      <c r="D83" s="304"/>
      <c r="E83" s="304"/>
      <c r="F83" s="304"/>
      <c r="G83" s="305">
        <f>IF(D19=3,1,0)</f>
        <v>0</v>
      </c>
      <c r="H83" s="304"/>
      <c r="I83" s="306"/>
      <c r="J83" s="306"/>
      <c r="K83" s="306"/>
      <c r="L83" s="307"/>
      <c r="M83" s="308"/>
      <c r="N83" s="306"/>
      <c r="O83" s="306"/>
      <c r="P83" s="309"/>
      <c r="Q83" s="310"/>
      <c r="R83" s="310"/>
      <c r="S83" s="310"/>
      <c r="T83" s="310"/>
      <c r="U83" s="310"/>
      <c r="V83" s="310"/>
      <c r="W83" s="310"/>
      <c r="X83" s="310"/>
      <c r="Y83" s="310"/>
      <c r="Z83" s="310"/>
      <c r="AA83" s="310"/>
      <c r="AB83" s="310"/>
    </row>
    <row r="84" spans="1:28" s="40" customFormat="1" ht="16.5" customHeight="1">
      <c r="A84" s="817" t="s">
        <v>110</v>
      </c>
      <c r="B84" s="817"/>
      <c r="C84" s="817"/>
      <c r="D84" s="825"/>
      <c r="E84" s="825"/>
      <c r="F84" s="825"/>
      <c r="G84" s="826">
        <f ca="1">TODAY()</f>
        <v>44857</v>
      </c>
      <c r="H84" s="826"/>
      <c r="I84" s="41"/>
      <c r="J84" s="155"/>
      <c r="K84" s="155"/>
      <c r="L84" s="155"/>
      <c r="M84" s="155"/>
      <c r="N84" s="155"/>
      <c r="O84" s="155"/>
      <c r="R84" s="845" t="s">
        <v>1024</v>
      </c>
      <c r="S84" s="845"/>
      <c r="T84" s="845"/>
      <c r="U84" s="845"/>
      <c r="V84" s="845"/>
      <c r="W84" s="845"/>
      <c r="X84" s="848" t="str">
        <f>IF(X8=0,"",X8)</f>
        <v/>
      </c>
      <c r="Y84" s="848"/>
      <c r="Z84" s="848"/>
      <c r="AA84" s="848"/>
      <c r="AB84" s="849"/>
    </row>
  </sheetData>
  <sheetProtection sheet="1" objects="1" selectLockedCells="1"/>
  <mergeCells count="433">
    <mergeCell ref="R84:W84"/>
    <mergeCell ref="P8:S8"/>
    <mergeCell ref="T8:W8"/>
    <mergeCell ref="U82:V82"/>
    <mergeCell ref="W82:X82"/>
    <mergeCell ref="Q76:T76"/>
    <mergeCell ref="U76:X76"/>
    <mergeCell ref="S77:T77"/>
    <mergeCell ref="Q77:R77"/>
    <mergeCell ref="U77:V77"/>
    <mergeCell ref="W77:X77"/>
    <mergeCell ref="X84:AB84"/>
    <mergeCell ref="Z56:AA56"/>
    <mergeCell ref="W52:X52"/>
    <mergeCell ref="Z49:AA49"/>
    <mergeCell ref="Z54:AA54"/>
    <mergeCell ref="Z55:AA55"/>
    <mergeCell ref="Z57:AA57"/>
    <mergeCell ref="X13:AB13"/>
    <mergeCell ref="Z52:AA52"/>
    <mergeCell ref="W51:X51"/>
    <mergeCell ref="Q51:R51"/>
    <mergeCell ref="T51:U51"/>
    <mergeCell ref="Z51:AA51"/>
    <mergeCell ref="M76:P76"/>
    <mergeCell ref="K77:L77"/>
    <mergeCell ref="O77:P77"/>
    <mergeCell ref="A78:B78"/>
    <mergeCell ref="K82:L82"/>
    <mergeCell ref="M77:N77"/>
    <mergeCell ref="X67:Y67"/>
    <mergeCell ref="Q70:T70"/>
    <mergeCell ref="U70:X70"/>
    <mergeCell ref="M71:N71"/>
    <mergeCell ref="Q71:R71"/>
    <mergeCell ref="S82:T82"/>
    <mergeCell ref="G79:H79"/>
    <mergeCell ref="G81:H81"/>
    <mergeCell ref="C80:D80"/>
    <mergeCell ref="C81:D81"/>
    <mergeCell ref="O79:P79"/>
    <mergeCell ref="Q79:R79"/>
    <mergeCell ref="A80:B80"/>
    <mergeCell ref="A81:B81"/>
    <mergeCell ref="E80:F80"/>
    <mergeCell ref="E81:F81"/>
    <mergeCell ref="S74:T74"/>
    <mergeCell ref="M74:N74"/>
    <mergeCell ref="O74:P74"/>
    <mergeCell ref="Q74:R74"/>
    <mergeCell ref="V67:W67"/>
    <mergeCell ref="U74:V74"/>
    <mergeCell ref="W74:X74"/>
    <mergeCell ref="U71:V71"/>
    <mergeCell ref="O72:P72"/>
    <mergeCell ref="O73:P73"/>
    <mergeCell ref="S72:T72"/>
    <mergeCell ref="S73:T73"/>
    <mergeCell ref="Q72:R72"/>
    <mergeCell ref="Q73:R73"/>
    <mergeCell ref="W72:X72"/>
    <mergeCell ref="W73:X73"/>
    <mergeCell ref="U72:V72"/>
    <mergeCell ref="J23:L23"/>
    <mergeCell ref="M23:O23"/>
    <mergeCell ref="B30:C30"/>
    <mergeCell ref="B31:C31"/>
    <mergeCell ref="B32:C32"/>
    <mergeCell ref="G24:I24"/>
    <mergeCell ref="A50:C50"/>
    <mergeCell ref="D24:F24"/>
    <mergeCell ref="H56:I56"/>
    <mergeCell ref="A48:C48"/>
    <mergeCell ref="A54:C55"/>
    <mergeCell ref="E55:F55"/>
    <mergeCell ref="A52:C52"/>
    <mergeCell ref="E49:F49"/>
    <mergeCell ref="E52:F52"/>
    <mergeCell ref="H49:I49"/>
    <mergeCell ref="H52:I52"/>
    <mergeCell ref="K49:L49"/>
    <mergeCell ref="N52:O52"/>
    <mergeCell ref="K51:L51"/>
    <mergeCell ref="N51:O51"/>
    <mergeCell ref="D17:F17"/>
    <mergeCell ref="G17:I17"/>
    <mergeCell ref="S16:U16"/>
    <mergeCell ref="B33:C33"/>
    <mergeCell ref="B34:C34"/>
    <mergeCell ref="B35:C35"/>
    <mergeCell ref="E51:F51"/>
    <mergeCell ref="H51:I51"/>
    <mergeCell ref="A24:C24"/>
    <mergeCell ref="J20:L20"/>
    <mergeCell ref="M20:O20"/>
    <mergeCell ref="D21:E21"/>
    <mergeCell ref="G21:H21"/>
    <mergeCell ref="E48:F48"/>
    <mergeCell ref="H48:I48"/>
    <mergeCell ref="K48:L48"/>
    <mergeCell ref="B39:C39"/>
    <mergeCell ref="A21:C21"/>
    <mergeCell ref="A22:C22"/>
    <mergeCell ref="A23:C23"/>
    <mergeCell ref="D22:F22"/>
    <mergeCell ref="B43:C43"/>
    <mergeCell ref="B44:C44"/>
    <mergeCell ref="G22:I22"/>
    <mergeCell ref="A1:D2"/>
    <mergeCell ref="E1:X1"/>
    <mergeCell ref="E2:X2"/>
    <mergeCell ref="D8:E8"/>
    <mergeCell ref="A4:C4"/>
    <mergeCell ref="A49:C49"/>
    <mergeCell ref="M62:N62"/>
    <mergeCell ref="M61:P61"/>
    <mergeCell ref="I61:L61"/>
    <mergeCell ref="E54:F54"/>
    <mergeCell ref="H54:I54"/>
    <mergeCell ref="J17:L17"/>
    <mergeCell ref="M17:O17"/>
    <mergeCell ref="D20:F20"/>
    <mergeCell ref="W48:X48"/>
    <mergeCell ref="W56:X56"/>
    <mergeCell ref="P21:Q21"/>
    <mergeCell ref="S21:T21"/>
    <mergeCell ref="J19:L19"/>
    <mergeCell ref="M19:O19"/>
    <mergeCell ref="J22:L22"/>
    <mergeCell ref="J18:L18"/>
    <mergeCell ref="S24:U24"/>
    <mergeCell ref="J21:K21"/>
    <mergeCell ref="Y1:AB1"/>
    <mergeCell ref="Y2:AB2"/>
    <mergeCell ref="M21:N21"/>
    <mergeCell ref="S22:U22"/>
    <mergeCell ref="J24:L24"/>
    <mergeCell ref="M24:O24"/>
    <mergeCell ref="V22:X22"/>
    <mergeCell ref="V23:X23"/>
    <mergeCell ref="P22:R22"/>
    <mergeCell ref="P23:R23"/>
    <mergeCell ref="V16:X16"/>
    <mergeCell ref="V17:X17"/>
    <mergeCell ref="V20:X20"/>
    <mergeCell ref="V21:W21"/>
    <mergeCell ref="Y18:AA18"/>
    <mergeCell ref="Y19:AA19"/>
    <mergeCell ref="V11:W11"/>
    <mergeCell ref="V12:W12"/>
    <mergeCell ref="O13:P13"/>
    <mergeCell ref="H8:L8"/>
    <mergeCell ref="E14:I14"/>
    <mergeCell ref="D16:F16"/>
    <mergeCell ref="G16:I16"/>
    <mergeCell ref="V13:W13"/>
    <mergeCell ref="Q82:R82"/>
    <mergeCell ref="A79:B79"/>
    <mergeCell ref="C79:D79"/>
    <mergeCell ref="E79:F79"/>
    <mergeCell ref="A74:B74"/>
    <mergeCell ref="C74:D74"/>
    <mergeCell ref="E74:F74"/>
    <mergeCell ref="G74:H74"/>
    <mergeCell ref="I74:J74"/>
    <mergeCell ref="K74:L74"/>
    <mergeCell ref="I80:J80"/>
    <mergeCell ref="I81:J81"/>
    <mergeCell ref="G80:H80"/>
    <mergeCell ref="M82:N82"/>
    <mergeCell ref="O82:P82"/>
    <mergeCell ref="A82:B82"/>
    <mergeCell ref="C82:D82"/>
    <mergeCell ref="E82:F82"/>
    <mergeCell ref="G82:H82"/>
    <mergeCell ref="I82:J82"/>
    <mergeCell ref="C77:D77"/>
    <mergeCell ref="A76:D76"/>
    <mergeCell ref="E76:H76"/>
    <mergeCell ref="I76:L76"/>
    <mergeCell ref="A73:B73"/>
    <mergeCell ref="C73:D73"/>
    <mergeCell ref="E73:F73"/>
    <mergeCell ref="G73:H73"/>
    <mergeCell ref="S67:T67"/>
    <mergeCell ref="G62:H62"/>
    <mergeCell ref="K64:L64"/>
    <mergeCell ref="I64:J64"/>
    <mergeCell ref="G67:H67"/>
    <mergeCell ref="I70:L70"/>
    <mergeCell ref="M70:P70"/>
    <mergeCell ref="E64:F64"/>
    <mergeCell ref="G64:H64"/>
    <mergeCell ref="Q67:R67"/>
    <mergeCell ref="S71:T71"/>
    <mergeCell ref="C67:D67"/>
    <mergeCell ref="C63:D63"/>
    <mergeCell ref="C64:D64"/>
    <mergeCell ref="I63:J63"/>
    <mergeCell ref="E63:F63"/>
    <mergeCell ref="G63:H63"/>
    <mergeCell ref="D84:F84"/>
    <mergeCell ref="G84:H84"/>
    <mergeCell ref="E65:F65"/>
    <mergeCell ref="B36:C36"/>
    <mergeCell ref="B37:C37"/>
    <mergeCell ref="B45:C45"/>
    <mergeCell ref="T48:U48"/>
    <mergeCell ref="W49:X49"/>
    <mergeCell ref="A70:D70"/>
    <mergeCell ref="E70:H70"/>
    <mergeCell ref="C72:D72"/>
    <mergeCell ref="E72:F72"/>
    <mergeCell ref="A69:X69"/>
    <mergeCell ref="I65:L66"/>
    <mergeCell ref="K63:L63"/>
    <mergeCell ref="O67:P67"/>
    <mergeCell ref="C66:D66"/>
    <mergeCell ref="A66:B66"/>
    <mergeCell ref="A65:B65"/>
    <mergeCell ref="C65:D65"/>
    <mergeCell ref="G65:H65"/>
    <mergeCell ref="G66:H66"/>
    <mergeCell ref="E66:F66"/>
    <mergeCell ref="G72:H72"/>
    <mergeCell ref="A64:B64"/>
    <mergeCell ref="A63:B63"/>
    <mergeCell ref="A67:B67"/>
    <mergeCell ref="B41:C41"/>
    <mergeCell ref="B42:C42"/>
    <mergeCell ref="H13:I13"/>
    <mergeCell ref="C13:G13"/>
    <mergeCell ref="J13:N13"/>
    <mergeCell ref="Q13:U13"/>
    <mergeCell ref="A84:C84"/>
    <mergeCell ref="E67:F67"/>
    <mergeCell ref="Z48:AA48"/>
    <mergeCell ref="Y16:AA16"/>
    <mergeCell ref="Y17:AA17"/>
    <mergeCell ref="Y21:Z21"/>
    <mergeCell ref="V24:X24"/>
    <mergeCell ref="Y20:AA20"/>
    <mergeCell ref="Y22:AA22"/>
    <mergeCell ref="Y23:AA23"/>
    <mergeCell ref="Y24:AA24"/>
    <mergeCell ref="B46:C46"/>
    <mergeCell ref="B47:C47"/>
    <mergeCell ref="Q49:R49"/>
    <mergeCell ref="T49:U49"/>
    <mergeCell ref="N49:O49"/>
    <mergeCell ref="Q48:R48"/>
    <mergeCell ref="N48:O48"/>
    <mergeCell ref="F8:G8"/>
    <mergeCell ref="V18:X18"/>
    <mergeCell ref="V19:X19"/>
    <mergeCell ref="AB16:AB24"/>
    <mergeCell ref="D23:F23"/>
    <mergeCell ref="S23:U23"/>
    <mergeCell ref="P24:R24"/>
    <mergeCell ref="G18:I18"/>
    <mergeCell ref="A13:B13"/>
    <mergeCell ref="A18:C18"/>
    <mergeCell ref="D18:F18"/>
    <mergeCell ref="S18:U18"/>
    <mergeCell ref="Q11:U11"/>
    <mergeCell ref="Q12:U12"/>
    <mergeCell ref="G20:I20"/>
    <mergeCell ref="J16:L16"/>
    <mergeCell ref="M16:O16"/>
    <mergeCell ref="P16:R16"/>
    <mergeCell ref="P17:R17"/>
    <mergeCell ref="P18:R18"/>
    <mergeCell ref="P19:R19"/>
    <mergeCell ref="P20:R20"/>
    <mergeCell ref="S17:U17"/>
    <mergeCell ref="M18:O18"/>
    <mergeCell ref="D4:H4"/>
    <mergeCell ref="O4:AB4"/>
    <mergeCell ref="C11:G11"/>
    <mergeCell ref="C12:G12"/>
    <mergeCell ref="X8:AB8"/>
    <mergeCell ref="A6:L6"/>
    <mergeCell ref="Y6:AB6"/>
    <mergeCell ref="W6:X6"/>
    <mergeCell ref="M6:V6"/>
    <mergeCell ref="A8:C8"/>
    <mergeCell ref="M8:O8"/>
    <mergeCell ref="L9:P9"/>
    <mergeCell ref="A11:B11"/>
    <mergeCell ref="A12:B12"/>
    <mergeCell ref="H11:I11"/>
    <mergeCell ref="H12:I12"/>
    <mergeCell ref="J11:N11"/>
    <mergeCell ref="J12:N12"/>
    <mergeCell ref="O11:P11"/>
    <mergeCell ref="O10:AB10"/>
    <mergeCell ref="A10:N10"/>
    <mergeCell ref="X11:AB11"/>
    <mergeCell ref="X12:AB12"/>
    <mergeCell ref="O12:P12"/>
    <mergeCell ref="A16:C16"/>
    <mergeCell ref="A17:C17"/>
    <mergeCell ref="A19:C19"/>
    <mergeCell ref="A20:C20"/>
    <mergeCell ref="S19:U19"/>
    <mergeCell ref="S20:U20"/>
    <mergeCell ref="D19:F19"/>
    <mergeCell ref="G19:I19"/>
    <mergeCell ref="K55:L55"/>
    <mergeCell ref="N55:O55"/>
    <mergeCell ref="K52:L52"/>
    <mergeCell ref="M22:O22"/>
    <mergeCell ref="G23:I23"/>
    <mergeCell ref="B25:C25"/>
    <mergeCell ref="B26:C26"/>
    <mergeCell ref="B40:C40"/>
    <mergeCell ref="B38:C38"/>
    <mergeCell ref="B27:C27"/>
    <mergeCell ref="B28:C28"/>
    <mergeCell ref="B29:C29"/>
    <mergeCell ref="Q52:R52"/>
    <mergeCell ref="T52:U52"/>
    <mergeCell ref="A51:C51"/>
    <mergeCell ref="H55:I55"/>
    <mergeCell ref="W54:X54"/>
    <mergeCell ref="W55:X55"/>
    <mergeCell ref="K62:L62"/>
    <mergeCell ref="O62:P62"/>
    <mergeCell ref="S62:T62"/>
    <mergeCell ref="Q62:R62"/>
    <mergeCell ref="Q54:R54"/>
    <mergeCell ref="Q55:R55"/>
    <mergeCell ref="T54:U54"/>
    <mergeCell ref="T55:U55"/>
    <mergeCell ref="Q56:R56"/>
    <mergeCell ref="Q57:R57"/>
    <mergeCell ref="T56:U56"/>
    <mergeCell ref="K54:L54"/>
    <mergeCell ref="N54:O54"/>
    <mergeCell ref="T57:U57"/>
    <mergeCell ref="K56:L56"/>
    <mergeCell ref="K57:L57"/>
    <mergeCell ref="N56:O56"/>
    <mergeCell ref="C62:D62"/>
    <mergeCell ref="A61:D61"/>
    <mergeCell ref="A56:C56"/>
    <mergeCell ref="V62:W62"/>
    <mergeCell ref="A60:T60"/>
    <mergeCell ref="V60:Y61"/>
    <mergeCell ref="I62:J62"/>
    <mergeCell ref="E62:F62"/>
    <mergeCell ref="A62:B62"/>
    <mergeCell ref="Q61:T61"/>
    <mergeCell ref="E61:H61"/>
    <mergeCell ref="A57:C57"/>
    <mergeCell ref="E56:F56"/>
    <mergeCell ref="E57:F57"/>
    <mergeCell ref="H57:I57"/>
    <mergeCell ref="N57:O57"/>
    <mergeCell ref="X62:Y62"/>
    <mergeCell ref="W57:X57"/>
    <mergeCell ref="W80:X80"/>
    <mergeCell ref="W81:X81"/>
    <mergeCell ref="S80:T80"/>
    <mergeCell ref="S81:T81"/>
    <mergeCell ref="O80:P80"/>
    <mergeCell ref="O81:P81"/>
    <mergeCell ref="K80:L80"/>
    <mergeCell ref="K81:L81"/>
    <mergeCell ref="M80:N80"/>
    <mergeCell ref="M81:N81"/>
    <mergeCell ref="Q80:R80"/>
    <mergeCell ref="Q81:R81"/>
    <mergeCell ref="U80:V80"/>
    <mergeCell ref="U81:V81"/>
    <mergeCell ref="Q64:R64"/>
    <mergeCell ref="X63:Y63"/>
    <mergeCell ref="X64:Y64"/>
    <mergeCell ref="V64:W64"/>
    <mergeCell ref="V63:W63"/>
    <mergeCell ref="E71:F71"/>
    <mergeCell ref="A71:B71"/>
    <mergeCell ref="I71:J71"/>
    <mergeCell ref="K72:L72"/>
    <mergeCell ref="C71:D71"/>
    <mergeCell ref="G71:H71"/>
    <mergeCell ref="A72:B72"/>
    <mergeCell ref="V65:W65"/>
    <mergeCell ref="X65:Y65"/>
    <mergeCell ref="X66:Y66"/>
    <mergeCell ref="O63:P63"/>
    <mergeCell ref="O64:P64"/>
    <mergeCell ref="M63:N63"/>
    <mergeCell ref="M64:N64"/>
    <mergeCell ref="S63:T63"/>
    <mergeCell ref="S64:T64"/>
    <mergeCell ref="Q63:R63"/>
    <mergeCell ref="I67:J67"/>
    <mergeCell ref="K67:L67"/>
    <mergeCell ref="K73:L73"/>
    <mergeCell ref="I72:J72"/>
    <mergeCell ref="I73:J73"/>
    <mergeCell ref="M72:N72"/>
    <mergeCell ref="M73:N73"/>
    <mergeCell ref="K71:L71"/>
    <mergeCell ref="V66:W66"/>
    <mergeCell ref="M65:P66"/>
    <mergeCell ref="Q65:T66"/>
    <mergeCell ref="M67:N67"/>
    <mergeCell ref="U73:V73"/>
    <mergeCell ref="O71:P71"/>
    <mergeCell ref="W71:X71"/>
    <mergeCell ref="U79:V79"/>
    <mergeCell ref="U78:V78"/>
    <mergeCell ref="W78:X78"/>
    <mergeCell ref="W79:X79"/>
    <mergeCell ref="I77:J77"/>
    <mergeCell ref="E77:F77"/>
    <mergeCell ref="A77:B77"/>
    <mergeCell ref="K78:L78"/>
    <mergeCell ref="I78:J78"/>
    <mergeCell ref="I79:J79"/>
    <mergeCell ref="K79:L79"/>
    <mergeCell ref="M79:N79"/>
    <mergeCell ref="M78:N78"/>
    <mergeCell ref="C78:D78"/>
    <mergeCell ref="O78:P78"/>
    <mergeCell ref="Q78:R78"/>
    <mergeCell ref="S78:T78"/>
    <mergeCell ref="S79:T79"/>
    <mergeCell ref="E78:F78"/>
    <mergeCell ref="G78:H78"/>
    <mergeCell ref="G77:H77"/>
  </mergeCells>
  <hyperlinks>
    <hyperlink ref="AB16" r:id="rId1"/>
  </hyperlinks>
  <printOptions horizontalCentered="1"/>
  <pageMargins left="0.78740157480314965" right="0.78740157480314965" top="0.39370078740157483" bottom="0.31496062992125984" header="0.51181102362204722" footer="0.19685039370078741"/>
  <pageSetup paperSize="9" scale="54" orientation="landscape" r:id="rId2"/>
  <headerFooter alignWithMargins="0">
    <oddFooter>&amp;L&amp;6&amp;Z&amp;F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89" r:id="rId5" name="Drop Down 9">
              <controlPr defaultSize="0" autoLine="0" autoPict="0">
                <anchor moveWithCells="1">
                  <from>
                    <xdr:col>3</xdr:col>
                    <xdr:colOff>428625</xdr:colOff>
                    <xdr:row>14</xdr:row>
                    <xdr:rowOff>9525</xdr:rowOff>
                  </from>
                  <to>
                    <xdr:col>7</xdr:col>
                    <xdr:colOff>371475</xdr:colOff>
                    <xdr:row>15</xdr:row>
                    <xdr:rowOff>0</xdr:rowOff>
                  </to>
                </anchor>
              </controlPr>
            </control>
          </mc:Choice>
        </mc:AlternateContent>
        <mc:AlternateContent xmlns:mc="http://schemas.openxmlformats.org/markup-compatibility/2006">
          <mc:Choice Requires="x14">
            <control shapeId="20494" r:id="rId6" name="Drop Down 14">
              <controlPr defaultSize="0" autoLine="0" autoPict="0">
                <anchor moveWithCells="1">
                  <from>
                    <xdr:col>3</xdr:col>
                    <xdr:colOff>19050</xdr:colOff>
                    <xdr:row>16</xdr:row>
                    <xdr:rowOff>9525</xdr:rowOff>
                  </from>
                  <to>
                    <xdr:col>5</xdr:col>
                    <xdr:colOff>314325</xdr:colOff>
                    <xdr:row>16</xdr:row>
                    <xdr:rowOff>180975</xdr:rowOff>
                  </to>
                </anchor>
              </controlPr>
            </control>
          </mc:Choice>
        </mc:AlternateContent>
        <mc:AlternateContent xmlns:mc="http://schemas.openxmlformats.org/markup-compatibility/2006">
          <mc:Choice Requires="x14">
            <control shapeId="20495" r:id="rId7" name="Drop Down 15">
              <controlPr defaultSize="0" autoLine="0" autoPict="0">
                <anchor moveWithCells="1">
                  <from>
                    <xdr:col>6</xdr:col>
                    <xdr:colOff>19050</xdr:colOff>
                    <xdr:row>16</xdr:row>
                    <xdr:rowOff>9525</xdr:rowOff>
                  </from>
                  <to>
                    <xdr:col>8</xdr:col>
                    <xdr:colOff>295275</xdr:colOff>
                    <xdr:row>16</xdr:row>
                    <xdr:rowOff>180975</xdr:rowOff>
                  </to>
                </anchor>
              </controlPr>
            </control>
          </mc:Choice>
        </mc:AlternateContent>
        <mc:AlternateContent xmlns:mc="http://schemas.openxmlformats.org/markup-compatibility/2006">
          <mc:Choice Requires="x14">
            <control shapeId="20496" r:id="rId8" name="Drop Down 16">
              <controlPr defaultSize="0" autoLine="0" autoPict="0">
                <anchor moveWithCells="1">
                  <from>
                    <xdr:col>9</xdr:col>
                    <xdr:colOff>19050</xdr:colOff>
                    <xdr:row>16</xdr:row>
                    <xdr:rowOff>9525</xdr:rowOff>
                  </from>
                  <to>
                    <xdr:col>11</xdr:col>
                    <xdr:colOff>276225</xdr:colOff>
                    <xdr:row>16</xdr:row>
                    <xdr:rowOff>180975</xdr:rowOff>
                  </to>
                </anchor>
              </controlPr>
            </control>
          </mc:Choice>
        </mc:AlternateContent>
        <mc:AlternateContent xmlns:mc="http://schemas.openxmlformats.org/markup-compatibility/2006">
          <mc:Choice Requires="x14">
            <control shapeId="20497" r:id="rId9" name="Drop Down 17">
              <controlPr defaultSize="0" autoLine="0" autoPict="0">
                <anchor moveWithCells="1">
                  <from>
                    <xdr:col>12</xdr:col>
                    <xdr:colOff>19050</xdr:colOff>
                    <xdr:row>16</xdr:row>
                    <xdr:rowOff>9525</xdr:rowOff>
                  </from>
                  <to>
                    <xdr:col>14</xdr:col>
                    <xdr:colOff>314325</xdr:colOff>
                    <xdr:row>16</xdr:row>
                    <xdr:rowOff>180975</xdr:rowOff>
                  </to>
                </anchor>
              </controlPr>
            </control>
          </mc:Choice>
        </mc:AlternateContent>
        <mc:AlternateContent xmlns:mc="http://schemas.openxmlformats.org/markup-compatibility/2006">
          <mc:Choice Requires="x14">
            <control shapeId="20498" r:id="rId10" name="Drop Down 18">
              <controlPr defaultSize="0" autoLine="0" autoPict="0">
                <anchor moveWithCells="1">
                  <from>
                    <xdr:col>3</xdr:col>
                    <xdr:colOff>19050</xdr:colOff>
                    <xdr:row>18</xdr:row>
                    <xdr:rowOff>47625</xdr:rowOff>
                  </from>
                  <to>
                    <xdr:col>5</xdr:col>
                    <xdr:colOff>390525</xdr:colOff>
                    <xdr:row>18</xdr:row>
                    <xdr:rowOff>180975</xdr:rowOff>
                  </to>
                </anchor>
              </controlPr>
            </control>
          </mc:Choice>
        </mc:AlternateContent>
        <mc:AlternateContent xmlns:mc="http://schemas.openxmlformats.org/markup-compatibility/2006">
          <mc:Choice Requires="x14">
            <control shapeId="20499" r:id="rId11" name="Drop Down 19">
              <controlPr defaultSize="0" autoLine="0" autoPict="0">
                <anchor moveWithCells="1">
                  <from>
                    <xdr:col>6</xdr:col>
                    <xdr:colOff>19050</xdr:colOff>
                    <xdr:row>18</xdr:row>
                    <xdr:rowOff>47625</xdr:rowOff>
                  </from>
                  <to>
                    <xdr:col>8</xdr:col>
                    <xdr:colOff>390525</xdr:colOff>
                    <xdr:row>18</xdr:row>
                    <xdr:rowOff>180975</xdr:rowOff>
                  </to>
                </anchor>
              </controlPr>
            </control>
          </mc:Choice>
        </mc:AlternateContent>
        <mc:AlternateContent xmlns:mc="http://schemas.openxmlformats.org/markup-compatibility/2006">
          <mc:Choice Requires="x14">
            <control shapeId="20500" r:id="rId12" name="Drop Down 20">
              <controlPr defaultSize="0" autoLine="0" autoPict="0">
                <anchor moveWithCells="1">
                  <from>
                    <xdr:col>9</xdr:col>
                    <xdr:colOff>19050</xdr:colOff>
                    <xdr:row>18</xdr:row>
                    <xdr:rowOff>47625</xdr:rowOff>
                  </from>
                  <to>
                    <xdr:col>11</xdr:col>
                    <xdr:colOff>390525</xdr:colOff>
                    <xdr:row>18</xdr:row>
                    <xdr:rowOff>180975</xdr:rowOff>
                  </to>
                </anchor>
              </controlPr>
            </control>
          </mc:Choice>
        </mc:AlternateContent>
        <mc:AlternateContent xmlns:mc="http://schemas.openxmlformats.org/markup-compatibility/2006">
          <mc:Choice Requires="x14">
            <control shapeId="20501" r:id="rId13" name="Drop Down 21">
              <controlPr defaultSize="0" autoLine="0" autoPict="0">
                <anchor moveWithCells="1">
                  <from>
                    <xdr:col>12</xdr:col>
                    <xdr:colOff>9525</xdr:colOff>
                    <xdr:row>18</xdr:row>
                    <xdr:rowOff>38100</xdr:rowOff>
                  </from>
                  <to>
                    <xdr:col>14</xdr:col>
                    <xdr:colOff>381000</xdr:colOff>
                    <xdr:row>18</xdr:row>
                    <xdr:rowOff>171450</xdr:rowOff>
                  </to>
                </anchor>
              </controlPr>
            </control>
          </mc:Choice>
        </mc:AlternateContent>
        <mc:AlternateContent xmlns:mc="http://schemas.openxmlformats.org/markup-compatibility/2006">
          <mc:Choice Requires="x14">
            <control shapeId="20504" r:id="rId14" name="Drop Down 24">
              <controlPr defaultSize="0" autoLine="0" autoPict="0">
                <anchor moveWithCells="1">
                  <from>
                    <xdr:col>3</xdr:col>
                    <xdr:colOff>19050</xdr:colOff>
                    <xdr:row>17</xdr:row>
                    <xdr:rowOff>47625</xdr:rowOff>
                  </from>
                  <to>
                    <xdr:col>5</xdr:col>
                    <xdr:colOff>390525</xdr:colOff>
                    <xdr:row>17</xdr:row>
                    <xdr:rowOff>180975</xdr:rowOff>
                  </to>
                </anchor>
              </controlPr>
            </control>
          </mc:Choice>
        </mc:AlternateContent>
        <mc:AlternateContent xmlns:mc="http://schemas.openxmlformats.org/markup-compatibility/2006">
          <mc:Choice Requires="x14">
            <control shapeId="20505" r:id="rId15" name="Drop Down 25">
              <controlPr defaultSize="0" autoLine="0" autoPict="0">
                <anchor moveWithCells="1">
                  <from>
                    <xdr:col>6</xdr:col>
                    <xdr:colOff>19050</xdr:colOff>
                    <xdr:row>17</xdr:row>
                    <xdr:rowOff>47625</xdr:rowOff>
                  </from>
                  <to>
                    <xdr:col>8</xdr:col>
                    <xdr:colOff>390525</xdr:colOff>
                    <xdr:row>17</xdr:row>
                    <xdr:rowOff>180975</xdr:rowOff>
                  </to>
                </anchor>
              </controlPr>
            </control>
          </mc:Choice>
        </mc:AlternateContent>
        <mc:AlternateContent xmlns:mc="http://schemas.openxmlformats.org/markup-compatibility/2006">
          <mc:Choice Requires="x14">
            <control shapeId="20506" r:id="rId16" name="Drop Down 26">
              <controlPr defaultSize="0" autoLine="0" autoPict="0">
                <anchor moveWithCells="1">
                  <from>
                    <xdr:col>9</xdr:col>
                    <xdr:colOff>19050</xdr:colOff>
                    <xdr:row>17</xdr:row>
                    <xdr:rowOff>47625</xdr:rowOff>
                  </from>
                  <to>
                    <xdr:col>11</xdr:col>
                    <xdr:colOff>390525</xdr:colOff>
                    <xdr:row>17</xdr:row>
                    <xdr:rowOff>180975</xdr:rowOff>
                  </to>
                </anchor>
              </controlPr>
            </control>
          </mc:Choice>
        </mc:AlternateContent>
        <mc:AlternateContent xmlns:mc="http://schemas.openxmlformats.org/markup-compatibility/2006">
          <mc:Choice Requires="x14">
            <control shapeId="20507" r:id="rId17" name="Drop Down 27">
              <controlPr defaultSize="0" autoLine="0" autoPict="0">
                <anchor moveWithCells="1">
                  <from>
                    <xdr:col>12</xdr:col>
                    <xdr:colOff>9525</xdr:colOff>
                    <xdr:row>17</xdr:row>
                    <xdr:rowOff>38100</xdr:rowOff>
                  </from>
                  <to>
                    <xdr:col>14</xdr:col>
                    <xdr:colOff>381000</xdr:colOff>
                    <xdr:row>17</xdr:row>
                    <xdr:rowOff>171450</xdr:rowOff>
                  </to>
                </anchor>
              </controlPr>
            </control>
          </mc:Choice>
        </mc:AlternateContent>
        <mc:AlternateContent xmlns:mc="http://schemas.openxmlformats.org/markup-compatibility/2006">
          <mc:Choice Requires="x14">
            <control shapeId="20510" r:id="rId18" name="Drop Down 30">
              <controlPr defaultSize="0" autoLine="0" autoPict="0">
                <anchor moveWithCells="1">
                  <from>
                    <xdr:col>15</xdr:col>
                    <xdr:colOff>19050</xdr:colOff>
                    <xdr:row>16</xdr:row>
                    <xdr:rowOff>9525</xdr:rowOff>
                  </from>
                  <to>
                    <xdr:col>17</xdr:col>
                    <xdr:colOff>314325</xdr:colOff>
                    <xdr:row>16</xdr:row>
                    <xdr:rowOff>180975</xdr:rowOff>
                  </to>
                </anchor>
              </controlPr>
            </control>
          </mc:Choice>
        </mc:AlternateContent>
        <mc:AlternateContent xmlns:mc="http://schemas.openxmlformats.org/markup-compatibility/2006">
          <mc:Choice Requires="x14">
            <control shapeId="20511" r:id="rId19" name="Drop Down 31">
              <controlPr defaultSize="0" autoLine="0" autoPict="0">
                <anchor moveWithCells="1">
                  <from>
                    <xdr:col>15</xdr:col>
                    <xdr:colOff>9525</xdr:colOff>
                    <xdr:row>18</xdr:row>
                    <xdr:rowOff>38100</xdr:rowOff>
                  </from>
                  <to>
                    <xdr:col>17</xdr:col>
                    <xdr:colOff>381000</xdr:colOff>
                    <xdr:row>18</xdr:row>
                    <xdr:rowOff>171450</xdr:rowOff>
                  </to>
                </anchor>
              </controlPr>
            </control>
          </mc:Choice>
        </mc:AlternateContent>
        <mc:AlternateContent xmlns:mc="http://schemas.openxmlformats.org/markup-compatibility/2006">
          <mc:Choice Requires="x14">
            <control shapeId="20512" r:id="rId20" name="Drop Down 32">
              <controlPr defaultSize="0" autoLine="0" autoPict="0">
                <anchor moveWithCells="1">
                  <from>
                    <xdr:col>15</xdr:col>
                    <xdr:colOff>9525</xdr:colOff>
                    <xdr:row>17</xdr:row>
                    <xdr:rowOff>38100</xdr:rowOff>
                  </from>
                  <to>
                    <xdr:col>17</xdr:col>
                    <xdr:colOff>381000</xdr:colOff>
                    <xdr:row>17</xdr:row>
                    <xdr:rowOff>171450</xdr:rowOff>
                  </to>
                </anchor>
              </controlPr>
            </control>
          </mc:Choice>
        </mc:AlternateContent>
        <mc:AlternateContent xmlns:mc="http://schemas.openxmlformats.org/markup-compatibility/2006">
          <mc:Choice Requires="x14">
            <control shapeId="20513" r:id="rId21" name="Drop Down 33">
              <controlPr defaultSize="0" autoLine="0" autoPict="0">
                <anchor moveWithCells="1">
                  <from>
                    <xdr:col>18</xdr:col>
                    <xdr:colOff>19050</xdr:colOff>
                    <xdr:row>16</xdr:row>
                    <xdr:rowOff>9525</xdr:rowOff>
                  </from>
                  <to>
                    <xdr:col>20</xdr:col>
                    <xdr:colOff>314325</xdr:colOff>
                    <xdr:row>16</xdr:row>
                    <xdr:rowOff>180975</xdr:rowOff>
                  </to>
                </anchor>
              </controlPr>
            </control>
          </mc:Choice>
        </mc:AlternateContent>
        <mc:AlternateContent xmlns:mc="http://schemas.openxmlformats.org/markup-compatibility/2006">
          <mc:Choice Requires="x14">
            <control shapeId="20514" r:id="rId22" name="Drop Down 34">
              <controlPr defaultSize="0" autoLine="0" autoPict="0">
                <anchor moveWithCells="1">
                  <from>
                    <xdr:col>18</xdr:col>
                    <xdr:colOff>9525</xdr:colOff>
                    <xdr:row>18</xdr:row>
                    <xdr:rowOff>38100</xdr:rowOff>
                  </from>
                  <to>
                    <xdr:col>20</xdr:col>
                    <xdr:colOff>381000</xdr:colOff>
                    <xdr:row>18</xdr:row>
                    <xdr:rowOff>171450</xdr:rowOff>
                  </to>
                </anchor>
              </controlPr>
            </control>
          </mc:Choice>
        </mc:AlternateContent>
        <mc:AlternateContent xmlns:mc="http://schemas.openxmlformats.org/markup-compatibility/2006">
          <mc:Choice Requires="x14">
            <control shapeId="20515" r:id="rId23" name="Drop Down 35">
              <controlPr defaultSize="0" autoLine="0" autoPict="0">
                <anchor moveWithCells="1">
                  <from>
                    <xdr:col>18</xdr:col>
                    <xdr:colOff>9525</xdr:colOff>
                    <xdr:row>17</xdr:row>
                    <xdr:rowOff>38100</xdr:rowOff>
                  </from>
                  <to>
                    <xdr:col>20</xdr:col>
                    <xdr:colOff>381000</xdr:colOff>
                    <xdr:row>17</xdr:row>
                    <xdr:rowOff>171450</xdr:rowOff>
                  </to>
                </anchor>
              </controlPr>
            </control>
          </mc:Choice>
        </mc:AlternateContent>
        <mc:AlternateContent xmlns:mc="http://schemas.openxmlformats.org/markup-compatibility/2006">
          <mc:Choice Requires="x14">
            <control shapeId="20516" r:id="rId24" name="Drop Down 36">
              <controlPr defaultSize="0" autoLine="0" autoPict="0">
                <anchor moveWithCells="1">
                  <from>
                    <xdr:col>21</xdr:col>
                    <xdr:colOff>19050</xdr:colOff>
                    <xdr:row>16</xdr:row>
                    <xdr:rowOff>9525</xdr:rowOff>
                  </from>
                  <to>
                    <xdr:col>23</xdr:col>
                    <xdr:colOff>314325</xdr:colOff>
                    <xdr:row>16</xdr:row>
                    <xdr:rowOff>180975</xdr:rowOff>
                  </to>
                </anchor>
              </controlPr>
            </control>
          </mc:Choice>
        </mc:AlternateContent>
        <mc:AlternateContent xmlns:mc="http://schemas.openxmlformats.org/markup-compatibility/2006">
          <mc:Choice Requires="x14">
            <control shapeId="20517" r:id="rId25" name="Drop Down 37">
              <controlPr defaultSize="0" autoLine="0" autoPict="0">
                <anchor moveWithCells="1">
                  <from>
                    <xdr:col>21</xdr:col>
                    <xdr:colOff>9525</xdr:colOff>
                    <xdr:row>18</xdr:row>
                    <xdr:rowOff>38100</xdr:rowOff>
                  </from>
                  <to>
                    <xdr:col>23</xdr:col>
                    <xdr:colOff>381000</xdr:colOff>
                    <xdr:row>18</xdr:row>
                    <xdr:rowOff>171450</xdr:rowOff>
                  </to>
                </anchor>
              </controlPr>
            </control>
          </mc:Choice>
        </mc:AlternateContent>
        <mc:AlternateContent xmlns:mc="http://schemas.openxmlformats.org/markup-compatibility/2006">
          <mc:Choice Requires="x14">
            <control shapeId="20518" r:id="rId26" name="Drop Down 38">
              <controlPr defaultSize="0" autoLine="0" autoPict="0">
                <anchor moveWithCells="1">
                  <from>
                    <xdr:col>21</xdr:col>
                    <xdr:colOff>9525</xdr:colOff>
                    <xdr:row>17</xdr:row>
                    <xdr:rowOff>38100</xdr:rowOff>
                  </from>
                  <to>
                    <xdr:col>23</xdr:col>
                    <xdr:colOff>381000</xdr:colOff>
                    <xdr:row>17</xdr:row>
                    <xdr:rowOff>171450</xdr:rowOff>
                  </to>
                </anchor>
              </controlPr>
            </control>
          </mc:Choice>
        </mc:AlternateContent>
        <mc:AlternateContent xmlns:mc="http://schemas.openxmlformats.org/markup-compatibility/2006">
          <mc:Choice Requires="x14">
            <control shapeId="20519" r:id="rId27" name="Drop Down 39">
              <controlPr defaultSize="0" autoLine="0" autoPict="0">
                <anchor moveWithCells="1">
                  <from>
                    <xdr:col>24</xdr:col>
                    <xdr:colOff>19050</xdr:colOff>
                    <xdr:row>16</xdr:row>
                    <xdr:rowOff>9525</xdr:rowOff>
                  </from>
                  <to>
                    <xdr:col>26</xdr:col>
                    <xdr:colOff>314325</xdr:colOff>
                    <xdr:row>16</xdr:row>
                    <xdr:rowOff>180975</xdr:rowOff>
                  </to>
                </anchor>
              </controlPr>
            </control>
          </mc:Choice>
        </mc:AlternateContent>
        <mc:AlternateContent xmlns:mc="http://schemas.openxmlformats.org/markup-compatibility/2006">
          <mc:Choice Requires="x14">
            <control shapeId="20520" r:id="rId28" name="Drop Down 40">
              <controlPr defaultSize="0" autoLine="0" autoPict="0">
                <anchor moveWithCells="1">
                  <from>
                    <xdr:col>24</xdr:col>
                    <xdr:colOff>9525</xdr:colOff>
                    <xdr:row>18</xdr:row>
                    <xdr:rowOff>38100</xdr:rowOff>
                  </from>
                  <to>
                    <xdr:col>26</xdr:col>
                    <xdr:colOff>381000</xdr:colOff>
                    <xdr:row>18</xdr:row>
                    <xdr:rowOff>171450</xdr:rowOff>
                  </to>
                </anchor>
              </controlPr>
            </control>
          </mc:Choice>
        </mc:AlternateContent>
        <mc:AlternateContent xmlns:mc="http://schemas.openxmlformats.org/markup-compatibility/2006">
          <mc:Choice Requires="x14">
            <control shapeId="20521" r:id="rId29" name="Drop Down 41">
              <controlPr defaultSize="0" autoLine="0" autoPict="0">
                <anchor moveWithCells="1">
                  <from>
                    <xdr:col>24</xdr:col>
                    <xdr:colOff>9525</xdr:colOff>
                    <xdr:row>17</xdr:row>
                    <xdr:rowOff>38100</xdr:rowOff>
                  </from>
                  <to>
                    <xdr:col>26</xdr:col>
                    <xdr:colOff>381000</xdr:colOff>
                    <xdr:row>17</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8" tint="0.79998168889431442"/>
    <pageSetUpPr fitToPage="1"/>
  </sheetPr>
  <dimension ref="A1:K158"/>
  <sheetViews>
    <sheetView topLeftCell="A25" zoomScaleNormal="100" workbookViewId="0">
      <selection activeCell="D7" sqref="D7"/>
    </sheetView>
  </sheetViews>
  <sheetFormatPr baseColWidth="10" defaultRowHeight="12.75"/>
  <cols>
    <col min="1" max="1" width="15.140625" style="394" customWidth="1"/>
    <col min="2" max="5" width="15.140625" style="317" customWidth="1"/>
    <col min="6" max="6" width="15.140625" style="2" customWidth="1"/>
    <col min="7" max="7" width="15.140625" style="317" customWidth="1"/>
    <col min="8" max="8" width="11.42578125" style="317" hidden="1" customWidth="1"/>
    <col min="9" max="16384" width="11.42578125" style="317"/>
  </cols>
  <sheetData>
    <row r="1" spans="1:11">
      <c r="A1" s="313" t="str">
        <f>CONCATENATE('4_Anzeichnungsprotokoll'!A4," ",'4_Anzeichnungsprotokoll'!D4)</f>
        <v xml:space="preserve">Waldabteilung </v>
      </c>
      <c r="B1" s="313"/>
      <c r="C1" s="313"/>
      <c r="D1" s="314" t="str">
        <f>CONCATENATE("Revier ",'4_Anzeichnungsprotokoll'!D8," ",'4_Anzeichnungsprotokoll'!H8)</f>
        <v xml:space="preserve">Revier  </v>
      </c>
      <c r="E1" s="315"/>
      <c r="F1" s="313"/>
      <c r="G1" s="316">
        <f>'4_Anzeichnungsprotokoll'!O4</f>
        <v>0</v>
      </c>
      <c r="J1" s="2"/>
    </row>
    <row r="2" spans="1:11" ht="2.25" customHeight="1">
      <c r="A2" s="318"/>
      <c r="B2" s="319"/>
      <c r="C2" s="319"/>
      <c r="D2" s="319"/>
      <c r="E2" s="319"/>
      <c r="F2" s="319"/>
      <c r="G2" s="319"/>
      <c r="J2" s="2"/>
    </row>
    <row r="3" spans="1:11" s="320" customFormat="1" ht="15.75" customHeight="1">
      <c r="A3" s="851" t="str">
        <f>CONCATENATE("Gemeinde ",'4_Anzeichnungsprotokoll'!P8,"        Lokalname ",'4_Anzeichnungsprotokoll'!D23)</f>
        <v xml:space="preserve">Gemeinde         Lokalname </v>
      </c>
      <c r="B3" s="853"/>
      <c r="C3" s="853"/>
      <c r="D3" s="853"/>
      <c r="E3" s="852"/>
      <c r="F3" s="851" t="s">
        <v>142</v>
      </c>
      <c r="G3" s="852"/>
      <c r="J3" s="321"/>
    </row>
    <row r="4" spans="1:11" ht="6" customHeight="1">
      <c r="A4" s="322"/>
      <c r="B4" s="323"/>
      <c r="C4" s="323"/>
      <c r="D4" s="323"/>
      <c r="E4" s="323"/>
      <c r="F4" s="323"/>
      <c r="G4" s="323"/>
      <c r="J4" s="2"/>
    </row>
    <row r="5" spans="1:11" ht="21" customHeight="1">
      <c r="A5" s="421" t="s">
        <v>898</v>
      </c>
      <c r="B5" s="422"/>
      <c r="C5" s="422"/>
      <c r="D5" s="422"/>
      <c r="E5" s="422"/>
      <c r="F5" s="423"/>
      <c r="G5" s="424"/>
      <c r="H5" s="324"/>
      <c r="I5" s="324"/>
      <c r="J5" s="325"/>
      <c r="K5" s="326"/>
    </row>
    <row r="6" spans="1:11" s="329" customFormat="1" ht="6" customHeight="1">
      <c r="A6" s="327"/>
      <c r="B6" s="328"/>
      <c r="C6" s="328"/>
      <c r="D6" s="328"/>
      <c r="E6" s="328"/>
      <c r="F6" s="53"/>
      <c r="H6" s="330"/>
      <c r="I6" s="330"/>
      <c r="J6" s="331"/>
      <c r="K6" s="332"/>
    </row>
    <row r="7" spans="1:11" s="338" customFormat="1" ht="17.25" customHeight="1">
      <c r="A7" s="901" t="s">
        <v>700</v>
      </c>
      <c r="B7" s="902"/>
      <c r="C7" s="902"/>
      <c r="D7" s="333">
        <v>1</v>
      </c>
      <c r="E7" s="434"/>
      <c r="F7" s="334" t="s">
        <v>8</v>
      </c>
      <c r="G7" s="335" t="str">
        <f>IF(F8&gt;0,IF(F8&lt;30,'Pauschalansätze etc.'!B187,IF(F8&lt;=35,'Pauschalansätze etc.'!B188,IF(F8&lt;=40,'Pauschalansätze etc.'!B189,IF(F8&lt;=50,'Pauschalansätze etc.'!B190,IF(F8&gt;50,'Pauschalansätze etc.'!B191))))),0)</f>
        <v>&gt;51cm</v>
      </c>
      <c r="H7" s="336"/>
      <c r="I7" s="336"/>
      <c r="J7" s="337"/>
      <c r="K7" s="337"/>
    </row>
    <row r="8" spans="1:11" ht="6" customHeight="1">
      <c r="A8" s="339"/>
      <c r="B8" s="339"/>
      <c r="C8" s="339"/>
      <c r="D8" s="339"/>
      <c r="E8" s="339"/>
      <c r="F8" s="340" t="str">
        <f>'4_Anzeichnungsprotokoll'!C64</f>
        <v/>
      </c>
      <c r="G8" s="341">
        <f>IF(F8&gt;0,IF(F8&lt;30,1,IF(F8&lt;=35,2,IF(F8&lt;=40,3,IF(F8&lt;=50,4,IF(F8&gt;50,5))))))</f>
        <v>5</v>
      </c>
      <c r="H8" s="342"/>
      <c r="J8" s="326"/>
      <c r="K8" s="326"/>
    </row>
    <row r="9" spans="1:11" ht="12.75" customHeight="1">
      <c r="A9" s="868" t="s">
        <v>15</v>
      </c>
      <c r="B9" s="869"/>
      <c r="C9" s="869"/>
      <c r="D9" s="869"/>
      <c r="E9" s="343"/>
      <c r="F9" s="344"/>
      <c r="G9" s="344" t="s">
        <v>22</v>
      </c>
      <c r="H9" s="324"/>
      <c r="I9" s="324"/>
      <c r="J9" s="345"/>
    </row>
    <row r="10" spans="1:11" ht="15.75" customHeight="1">
      <c r="A10" s="903" t="s">
        <v>701</v>
      </c>
      <c r="B10" s="904"/>
      <c r="C10" s="904"/>
      <c r="D10" s="905"/>
      <c r="E10" s="346" t="b">
        <v>0</v>
      </c>
      <c r="F10" s="427"/>
      <c r="G10" s="347">
        <f>IF($E10=TRUE,INDEX('Pauschalansätze etc.'!F6:J9,$D$7,$G$8),0)</f>
        <v>0</v>
      </c>
      <c r="H10" s="324"/>
      <c r="I10" s="324"/>
      <c r="J10" s="345"/>
    </row>
    <row r="11" spans="1:11" ht="15.75" customHeight="1">
      <c r="A11" s="871" t="s">
        <v>702</v>
      </c>
      <c r="B11" s="871"/>
      <c r="C11" s="871"/>
      <c r="D11" s="871"/>
      <c r="E11" s="348">
        <v>5</v>
      </c>
      <c r="F11" s="428" t="str">
        <f>IF(AND(E11=1),"im Grundwert","")</f>
        <v/>
      </c>
      <c r="G11" s="347">
        <f>IF($E11&gt;0,INDEX('Pauschalansätze etc.'!F14:J18,$E$11,$G$8),0)</f>
        <v>0</v>
      </c>
      <c r="H11" s="324"/>
      <c r="I11" s="324"/>
      <c r="J11" s="345"/>
    </row>
    <row r="12" spans="1:11" ht="15.75" customHeight="1">
      <c r="A12" s="903" t="s">
        <v>703</v>
      </c>
      <c r="B12" s="904"/>
      <c r="C12" s="904"/>
      <c r="D12" s="905"/>
      <c r="E12" s="348" t="b">
        <v>0</v>
      </c>
      <c r="F12" s="428" t="str">
        <f>IF(AND(E12=1),"im Grundwert","")</f>
        <v/>
      </c>
      <c r="G12" s="347">
        <f>IF($E12=TRUE,INDEX('Pauschalansätze etc.'!F22:J25,$D$7,$G$8),0)</f>
        <v>0</v>
      </c>
      <c r="H12" s="324"/>
      <c r="I12" s="324"/>
      <c r="J12" s="345"/>
    </row>
    <row r="13" spans="1:11" ht="51" customHeight="1">
      <c r="A13" s="907" t="s">
        <v>704</v>
      </c>
      <c r="B13" s="908"/>
      <c r="C13" s="908"/>
      <c r="D13" s="909"/>
      <c r="E13" s="349" t="b">
        <v>0</v>
      </c>
      <c r="F13" s="75">
        <v>1</v>
      </c>
      <c r="G13" s="350">
        <f>IF($E13=TRUE,INDEX('Pauschalansätze etc.'!F30:J33,$D$7,$G$8)*F13,0)</f>
        <v>0</v>
      </c>
      <c r="H13" s="324"/>
      <c r="I13" s="324"/>
      <c r="J13" s="345"/>
    </row>
    <row r="14" spans="1:11" ht="15.75" customHeight="1">
      <c r="A14" s="871" t="s">
        <v>705</v>
      </c>
      <c r="B14" s="872"/>
      <c r="C14" s="872"/>
      <c r="D14" s="872"/>
      <c r="E14" s="349" t="b">
        <v>0</v>
      </c>
      <c r="F14" s="351">
        <v>1</v>
      </c>
      <c r="G14" s="350">
        <f>IF($E14=TRUE,INDEX('Pauschalansätze etc.'!F37:J37,1,$G$8)*F14,0)</f>
        <v>0</v>
      </c>
      <c r="H14" s="324"/>
      <c r="I14" s="324"/>
      <c r="J14" s="345"/>
    </row>
    <row r="15" spans="1:11" s="355" customFormat="1" ht="15.75" customHeight="1">
      <c r="A15" s="891" t="s">
        <v>706</v>
      </c>
      <c r="B15" s="891"/>
      <c r="C15" s="891"/>
      <c r="D15" s="891"/>
      <c r="E15" s="352"/>
      <c r="F15" s="21"/>
      <c r="G15" s="22">
        <f>SUM(G10:G14)</f>
        <v>0</v>
      </c>
      <c r="H15" s="353"/>
      <c r="I15" s="353"/>
      <c r="J15" s="354"/>
    </row>
    <row r="16" spans="1:11" ht="15.75" customHeight="1">
      <c r="A16" s="892" t="s">
        <v>707</v>
      </c>
      <c r="B16" s="892"/>
      <c r="C16" s="892"/>
      <c r="D16" s="892"/>
      <c r="E16" s="356">
        <v>5</v>
      </c>
      <c r="F16" s="429">
        <f>IF(AND(E16=1),0,IF(AND(E16=2),0.1,IF(AND(E16=3),0.2,IF(AND(E16=4),0.3,0))))</f>
        <v>0</v>
      </c>
      <c r="G16" s="350">
        <f>G15*F16</f>
        <v>0</v>
      </c>
      <c r="H16" s="324"/>
      <c r="I16" s="324"/>
      <c r="J16" s="345"/>
    </row>
    <row r="17" spans="1:10" ht="15.75" customHeight="1">
      <c r="A17" s="873" t="s">
        <v>708</v>
      </c>
      <c r="B17" s="873"/>
      <c r="C17" s="873"/>
      <c r="D17" s="873"/>
      <c r="E17" s="349" t="b">
        <v>0</v>
      </c>
      <c r="F17" s="357" t="b">
        <v>0</v>
      </c>
      <c r="G17" s="173">
        <f>IF(AND($E17=TRUE),INDEX('Pauschalansätze etc.'!F45:J48,$D$7,$G$8),IF(AND($F17=TRUE),INDEX('Pauschalansätze etc.'!F61:J64,$D$7,$G$8),0))</f>
        <v>0</v>
      </c>
      <c r="H17" s="324"/>
      <c r="I17" s="324"/>
      <c r="J17" s="345"/>
    </row>
    <row r="18" spans="1:10" ht="24.75" customHeight="1">
      <c r="A18" s="873" t="s">
        <v>709</v>
      </c>
      <c r="B18" s="871"/>
      <c r="C18" s="871"/>
      <c r="D18" s="871"/>
      <c r="E18" s="349" t="b">
        <v>0</v>
      </c>
      <c r="F18" s="358" t="b">
        <v>0</v>
      </c>
      <c r="G18" s="173">
        <f>IF(AND($E18=TRUE),INDEX('Pauschalansätze etc.'!F53:J56,$D$7,$G$8),IF(AND($F18=TRUE),INDEX('Pauschalansätze etc.'!F69:J72,$D$7,$G$8),0))</f>
        <v>0</v>
      </c>
      <c r="H18" s="324"/>
      <c r="I18" s="324"/>
      <c r="J18" s="345"/>
    </row>
    <row r="19" spans="1:10">
      <c r="A19" s="881" t="s">
        <v>710</v>
      </c>
      <c r="B19" s="882"/>
      <c r="C19" s="882"/>
      <c r="D19" s="882"/>
      <c r="E19" s="910"/>
      <c r="F19" s="911"/>
      <c r="G19" s="350">
        <f>IF(G56=0,0,G56/G48/1.1)</f>
        <v>0</v>
      </c>
      <c r="H19" s="324"/>
      <c r="I19" s="324"/>
      <c r="J19" s="345"/>
    </row>
    <row r="20" spans="1:10" s="360" customFormat="1" ht="14.25" customHeight="1">
      <c r="A20" s="894" t="s">
        <v>711</v>
      </c>
      <c r="B20" s="894"/>
      <c r="C20" s="894"/>
      <c r="D20" s="894"/>
      <c r="E20" s="359"/>
      <c r="F20" s="22"/>
      <c r="G20" s="22">
        <f>ROUND(SUM(G15:G19)/5,2)*5</f>
        <v>0</v>
      </c>
      <c r="H20" s="360" t="b">
        <f>IF(AND(A7&lt;5),"A",IF(AND(A7=5),"B",IF(AND(A7=8),"D",IF(AND(A7=6),"C",IF(AND(A7=7),"C",IF(AND(A7=9),"E"))))))</f>
        <v>0</v>
      </c>
    </row>
    <row r="21" spans="1:10" s="360" customFormat="1" ht="14.25" customHeight="1">
      <c r="A21" s="891" t="s">
        <v>899</v>
      </c>
      <c r="B21" s="891"/>
      <c r="C21" s="891"/>
      <c r="D21" s="891"/>
      <c r="E21" s="361">
        <v>1</v>
      </c>
      <c r="F21" s="361"/>
      <c r="G21" s="361">
        <f>ROUND((G20*E21)/5,2)*5</f>
        <v>0</v>
      </c>
    </row>
    <row r="22" spans="1:10" ht="7.5" customHeight="1">
      <c r="A22" s="906"/>
      <c r="B22" s="906"/>
      <c r="C22" s="906"/>
      <c r="D22" s="906"/>
      <c r="E22" s="362"/>
      <c r="F22" s="23"/>
      <c r="G22" s="363"/>
    </row>
    <row r="23" spans="1:10" ht="12.75" customHeight="1">
      <c r="A23" s="868" t="s">
        <v>17</v>
      </c>
      <c r="B23" s="869"/>
      <c r="C23" s="869"/>
      <c r="D23" s="869"/>
      <c r="E23" s="364"/>
      <c r="F23" s="365"/>
      <c r="G23" s="365" t="s">
        <v>38</v>
      </c>
    </row>
    <row r="24" spans="1:10" ht="15.75" customHeight="1">
      <c r="A24" s="898" t="s">
        <v>712</v>
      </c>
      <c r="B24" s="899"/>
      <c r="C24" s="899"/>
      <c r="D24" s="899"/>
      <c r="E24" s="346" t="b">
        <v>0</v>
      </c>
      <c r="F24" s="427"/>
      <c r="G24" s="350">
        <f>IF((E24=TRUE),INDEX('Pauschalansätze etc.'!N6:R9,$D$7,$G$8),0)</f>
        <v>0</v>
      </c>
    </row>
    <row r="25" spans="1:10" ht="26.25" customHeight="1">
      <c r="A25" s="875" t="s">
        <v>713</v>
      </c>
      <c r="B25" s="876"/>
      <c r="C25" s="876"/>
      <c r="D25" s="877"/>
      <c r="E25" s="348">
        <v>6</v>
      </c>
      <c r="F25" s="430"/>
      <c r="G25" s="350">
        <f>IF($E25=6,0,INDEX('Pauschalansätze etc.'!N14:R18,$E25,$G$8))</f>
        <v>0</v>
      </c>
    </row>
    <row r="26" spans="1:10" ht="24.75" customHeight="1">
      <c r="A26" s="873" t="s">
        <v>714</v>
      </c>
      <c r="B26" s="874"/>
      <c r="C26" s="874"/>
      <c r="D26" s="874"/>
      <c r="E26" s="348">
        <v>7</v>
      </c>
      <c r="F26" s="430"/>
      <c r="G26" s="350">
        <f>IF(AND($E26=7),0,IF(AND($E$24=TRUE),INDEX('Pauschalansätze etc.'!N23:R28,$E26,$G$8),0))</f>
        <v>0</v>
      </c>
    </row>
    <row r="27" spans="1:10" ht="15.75" customHeight="1">
      <c r="A27" s="871" t="s">
        <v>715</v>
      </c>
      <c r="B27" s="872"/>
      <c r="C27" s="872"/>
      <c r="D27" s="872"/>
      <c r="E27" s="349" t="b">
        <v>0</v>
      </c>
      <c r="F27" s="351">
        <v>1</v>
      </c>
      <c r="G27" s="350">
        <f>IF((E27=TRUE),INDEX('Pauschalansätze etc.'!N36:R36,1,$G$8)*F27,0)</f>
        <v>0</v>
      </c>
    </row>
    <row r="28" spans="1:10" ht="15.75" customHeight="1">
      <c r="A28" s="871" t="s">
        <v>716</v>
      </c>
      <c r="B28" s="872"/>
      <c r="C28" s="872"/>
      <c r="D28" s="872"/>
      <c r="E28" s="349" t="b">
        <v>0</v>
      </c>
      <c r="F28" s="351">
        <v>1</v>
      </c>
      <c r="G28" s="350">
        <f>IF((E28=TRUE),INDEX('Pauschalansätze etc.'!N36:R36,1,$G$8)*F28,0)</f>
        <v>0</v>
      </c>
    </row>
    <row r="29" spans="1:10" ht="15.75" customHeight="1">
      <c r="A29" s="871" t="s">
        <v>717</v>
      </c>
      <c r="B29" s="872"/>
      <c r="C29" s="872"/>
      <c r="D29" s="872"/>
      <c r="E29" s="349" t="b">
        <v>0</v>
      </c>
      <c r="F29" s="430"/>
      <c r="G29" s="350">
        <f>IF($E29=TRUE,INDEX('Pauschalansätze etc.'!N42:R42,1,$G$8),0)</f>
        <v>0</v>
      </c>
    </row>
    <row r="30" spans="1:10" ht="15.75" customHeight="1">
      <c r="A30" s="871" t="s">
        <v>718</v>
      </c>
      <c r="B30" s="872"/>
      <c r="C30" s="872"/>
      <c r="D30" s="872"/>
      <c r="E30" s="356">
        <v>7</v>
      </c>
      <c r="F30" s="430"/>
      <c r="G30" s="350">
        <f>IF($E30=7,0,INDEX('Pauschalansätze etc.'!N47:R52,$E30,$G$8))</f>
        <v>0</v>
      </c>
    </row>
    <row r="31" spans="1:10" ht="15.75" customHeight="1">
      <c r="A31" s="871" t="s">
        <v>719</v>
      </c>
      <c r="B31" s="872"/>
      <c r="C31" s="872"/>
      <c r="D31" s="872"/>
      <c r="E31" s="349" t="b">
        <v>0</v>
      </c>
      <c r="F31" s="430"/>
      <c r="G31" s="350">
        <f>IF($E31=TRUE,INDEX('Pauschalansätze etc.'!N57:R57,1,$G$8),0)</f>
        <v>0</v>
      </c>
    </row>
    <row r="32" spans="1:10" ht="15.75" customHeight="1">
      <c r="A32" s="871" t="s">
        <v>720</v>
      </c>
      <c r="B32" s="872"/>
      <c r="C32" s="872"/>
      <c r="D32" s="872"/>
      <c r="E32" s="356">
        <v>5</v>
      </c>
      <c r="F32" s="430"/>
      <c r="G32" s="350">
        <f>IF(E32=5,0,INDEX('Pauschalansätze etc.'!N58:R61,E32,$G$8))</f>
        <v>0</v>
      </c>
    </row>
    <row r="33" spans="1:10" ht="15.75" customHeight="1">
      <c r="A33" s="871" t="s">
        <v>721</v>
      </c>
      <c r="B33" s="872"/>
      <c r="C33" s="872"/>
      <c r="D33" s="872"/>
      <c r="E33" s="356">
        <v>3</v>
      </c>
      <c r="F33" s="430"/>
      <c r="G33" s="350">
        <f>IF(E33=3,0,INDEX('Pauschalansätze etc.'!N62:R63,E33,$G$8))</f>
        <v>0</v>
      </c>
    </row>
    <row r="34" spans="1:10" ht="15.75" customHeight="1">
      <c r="A34" s="871" t="s">
        <v>722</v>
      </c>
      <c r="B34" s="872"/>
      <c r="C34" s="872"/>
      <c r="D34" s="872"/>
      <c r="E34" s="356">
        <v>3</v>
      </c>
      <c r="F34" s="430"/>
      <c r="G34" s="350">
        <f>IF(E34=3,0,INDEX('Pauschalansätze etc.'!N64:R65,E34,$G$8))</f>
        <v>0</v>
      </c>
    </row>
    <row r="35" spans="1:10" ht="15.75" customHeight="1">
      <c r="A35" s="871" t="s">
        <v>723</v>
      </c>
      <c r="B35" s="872"/>
      <c r="C35" s="872"/>
      <c r="D35" s="872"/>
      <c r="E35" s="366">
        <v>1</v>
      </c>
      <c r="F35" s="433">
        <f>IF(E35&gt;3,1,0)</f>
        <v>0</v>
      </c>
      <c r="G35" s="350">
        <f>IF(F35=1,INDEX('Pauschalansätze etc.'!N66:R66,1,$G$8),0)</f>
        <v>0</v>
      </c>
    </row>
    <row r="36" spans="1:10" ht="25.5" customHeight="1">
      <c r="A36" s="873" t="s">
        <v>724</v>
      </c>
      <c r="B36" s="874"/>
      <c r="C36" s="874"/>
      <c r="D36" s="874"/>
      <c r="E36" s="356">
        <v>1</v>
      </c>
      <c r="F36" s="433">
        <f>IF(E36&gt;2,1,0)</f>
        <v>0</v>
      </c>
      <c r="G36" s="350">
        <f>IF(F36=1,INDEX('Pauschalansätze etc.'!N67:R67,1,$G$8),0)</f>
        <v>0</v>
      </c>
    </row>
    <row r="37" spans="1:10" ht="25.5" customHeight="1">
      <c r="A37" s="875" t="s">
        <v>725</v>
      </c>
      <c r="B37" s="876"/>
      <c r="C37" s="876"/>
      <c r="D37" s="876"/>
      <c r="E37" s="877"/>
      <c r="F37" s="433"/>
      <c r="G37" s="350">
        <f>IF(F37=0,0,F37/G48)</f>
        <v>0</v>
      </c>
    </row>
    <row r="38" spans="1:10" ht="26.25" customHeight="1">
      <c r="A38" s="878" t="s">
        <v>726</v>
      </c>
      <c r="B38" s="879"/>
      <c r="C38" s="879"/>
      <c r="D38" s="879"/>
      <c r="E38" s="880"/>
      <c r="F38" s="431"/>
      <c r="G38" s="368">
        <f>IF(F38=0,0,F38/G48)</f>
        <v>0</v>
      </c>
    </row>
    <row r="39" spans="1:10">
      <c r="A39" s="881" t="s">
        <v>727</v>
      </c>
      <c r="B39" s="882"/>
      <c r="C39" s="882"/>
      <c r="D39" s="882"/>
      <c r="E39" s="883"/>
      <c r="F39" s="884"/>
      <c r="G39" s="350">
        <f>IF(G57=0,0,G57/G48/1.1)</f>
        <v>0</v>
      </c>
    </row>
    <row r="40" spans="1:10" s="370" customFormat="1" ht="15.75" customHeight="1">
      <c r="A40" s="891" t="s">
        <v>706</v>
      </c>
      <c r="B40" s="891"/>
      <c r="C40" s="891"/>
      <c r="D40" s="891"/>
      <c r="E40" s="369"/>
      <c r="F40" s="369"/>
      <c r="G40" s="22">
        <f>SUM(G24:G39)</f>
        <v>0</v>
      </c>
    </row>
    <row r="41" spans="1:10" ht="15.75" customHeight="1">
      <c r="A41" s="892" t="s">
        <v>728</v>
      </c>
      <c r="B41" s="893"/>
      <c r="C41" s="893"/>
      <c r="D41" s="893"/>
      <c r="E41" s="371">
        <v>1</v>
      </c>
      <c r="F41" s="429">
        <f>IF(AND(E41=1),0,IF(AND(E41=2),0.1,IF(AND(E41=3),0.2,IF(AND(E41=4),0.3,0))))</f>
        <v>0</v>
      </c>
      <c r="G41" s="350">
        <f>(G40*F41)</f>
        <v>0</v>
      </c>
      <c r="J41" s="372"/>
    </row>
    <row r="42" spans="1:10" ht="12.75" customHeight="1">
      <c r="A42" s="894" t="s">
        <v>729</v>
      </c>
      <c r="B42" s="894"/>
      <c r="C42" s="894"/>
      <c r="D42" s="894"/>
      <c r="E42" s="373"/>
      <c r="F42" s="374"/>
      <c r="G42" s="22">
        <f>(ROUND((G40+G41)/5,2)*5)</f>
        <v>0</v>
      </c>
      <c r="H42" s="375"/>
      <c r="J42" s="376"/>
    </row>
    <row r="43" spans="1:10" ht="12.75" customHeight="1">
      <c r="A43" s="891" t="s">
        <v>900</v>
      </c>
      <c r="B43" s="891"/>
      <c r="C43" s="891"/>
      <c r="D43" s="891"/>
      <c r="E43" s="22">
        <v>1</v>
      </c>
      <c r="F43" s="22"/>
      <c r="G43" s="22">
        <f>ROUND((G42*E43)/5,2)*5</f>
        <v>0</v>
      </c>
    </row>
    <row r="44" spans="1:10" ht="7.5" customHeight="1">
      <c r="A44" s="377"/>
      <c r="B44" s="377"/>
      <c r="C44" s="377"/>
      <c r="D44" s="377"/>
      <c r="E44" s="378"/>
      <c r="F44" s="379"/>
      <c r="G44" s="379"/>
    </row>
    <row r="45" spans="1:10" ht="12.75" customHeight="1">
      <c r="A45" s="380" t="s">
        <v>730</v>
      </c>
      <c r="B45" s="895"/>
      <c r="C45" s="895"/>
      <c r="D45" s="895"/>
      <c r="E45" s="895"/>
      <c r="F45" s="896"/>
      <c r="G45" s="381"/>
    </row>
    <row r="46" spans="1:10" ht="12.75" customHeight="1">
      <c r="A46" s="897" t="s">
        <v>904</v>
      </c>
      <c r="B46" s="897"/>
      <c r="C46" s="897"/>
      <c r="D46" s="897"/>
      <c r="E46" s="382"/>
      <c r="F46" s="361"/>
      <c r="G46" s="21">
        <f>G21+G43</f>
        <v>0</v>
      </c>
    </row>
    <row r="47" spans="1:10" ht="12.75" customHeight="1">
      <c r="A47" s="864" t="str">
        <f>IF(D47&gt;0,"Holzerlös manuell berechnet - siehe Beilage!","H1-H3: Holzerlös")</f>
        <v>H1-H3: Holzerlös</v>
      </c>
      <c r="B47" s="865"/>
      <c r="C47" s="865"/>
      <c r="D47" s="383"/>
      <c r="E47" s="384">
        <v>9</v>
      </c>
      <c r="F47" s="432"/>
      <c r="G47" s="361" t="str">
        <f>IF(AND(D47&gt;0),D47,IF(AND(E47=9),'4_Anzeichnungsprotokoll'!C66,IF(AND(G40&gt;0),INDEX('Pauschalansätze etc.'!V6:Z13,$E47,$G$8),0)))</f>
        <v/>
      </c>
    </row>
    <row r="48" spans="1:10" ht="12.75" customHeight="1">
      <c r="A48" s="868" t="s">
        <v>902</v>
      </c>
      <c r="B48" s="869"/>
      <c r="C48" s="869"/>
      <c r="D48" s="869"/>
      <c r="E48" s="869"/>
      <c r="F48" s="870"/>
      <c r="G48" s="387">
        <f>IF('4_Anzeichnungsprotokoll'!C67="",0,'4_Anzeichnungsprotokoll'!C67)</f>
        <v>0</v>
      </c>
    </row>
    <row r="49" spans="1:7" ht="12.75" customHeight="1">
      <c r="A49" s="854" t="s">
        <v>903</v>
      </c>
      <c r="B49" s="855"/>
      <c r="C49" s="855"/>
      <c r="D49" s="855"/>
      <c r="E49" s="855"/>
      <c r="F49" s="856"/>
      <c r="G49" s="418" t="str">
        <f>IF('4_Anzeichnungsprotokoll'!C62&gt;0,'4_Anzeichnungsprotokoll'!C62,0)</f>
        <v/>
      </c>
    </row>
    <row r="50" spans="1:7">
      <c r="A50" s="866" t="s">
        <v>901</v>
      </c>
      <c r="B50" s="867"/>
      <c r="C50" s="862" t="str">
        <f>IF(G20&gt;119.95,"Begrenzung direkte Kosten G Fall A 120.-/m³","")</f>
        <v/>
      </c>
      <c r="D50" s="862"/>
      <c r="E50" s="862"/>
      <c r="F50" s="863"/>
      <c r="G50" s="416" t="e">
        <f>G46-G47</f>
        <v>#VALUE!</v>
      </c>
    </row>
    <row r="51" spans="1:7" s="370" customFormat="1">
      <c r="A51" s="857" t="s">
        <v>905</v>
      </c>
      <c r="B51" s="858"/>
      <c r="C51" s="858"/>
      <c r="D51" s="858"/>
      <c r="E51" s="858"/>
      <c r="F51" s="859"/>
      <c r="G51" s="417" t="e">
        <f>IF(G48="","",G50*G48)</f>
        <v>#VALUE!</v>
      </c>
    </row>
    <row r="52" spans="1:7" s="420" customFormat="1" ht="15">
      <c r="A52" s="860" t="s">
        <v>906</v>
      </c>
      <c r="B52" s="861"/>
      <c r="C52" s="861"/>
      <c r="D52" s="862" t="str">
        <f>IF(G52&gt;100,"Pauschale &gt; Fr.100.-/Baum = Ausnahme beantragen!","")</f>
        <v/>
      </c>
      <c r="E52" s="862"/>
      <c r="F52" s="863"/>
      <c r="G52" s="419">
        <f>IF(G48=0,0,G50*G48/G49)</f>
        <v>0</v>
      </c>
    </row>
    <row r="53" spans="1:7" s="420" customFormat="1" ht="15">
      <c r="A53" s="483" t="b">
        <v>0</v>
      </c>
      <c r="B53" s="484" t="str">
        <f>IF(G52&gt;100,"Ausnahme bei Waldabteilung beantragt.","")</f>
        <v/>
      </c>
      <c r="C53" s="480"/>
      <c r="D53" s="481"/>
      <c r="E53" s="481"/>
      <c r="F53" s="485" t="s">
        <v>1019</v>
      </c>
      <c r="G53" s="419">
        <f>IF(AND(G52&lt;100),G52,IF(AND(A53=TRUE),G52,IF(AND(A53=FALSE),100)))</f>
        <v>0</v>
      </c>
    </row>
    <row r="54" spans="1:7" ht="9" customHeight="1">
      <c r="A54" s="385"/>
      <c r="B54" s="385"/>
      <c r="C54" s="385"/>
      <c r="D54" s="385"/>
      <c r="E54" s="385"/>
      <c r="F54" s="386"/>
      <c r="G54" s="388"/>
    </row>
    <row r="55" spans="1:7" ht="12.75" customHeight="1">
      <c r="A55" s="889" t="s">
        <v>731</v>
      </c>
      <c r="B55" s="890"/>
      <c r="C55" s="890"/>
      <c r="D55" s="890"/>
      <c r="E55" s="890"/>
      <c r="F55" s="890"/>
      <c r="G55" s="389" t="s">
        <v>268</v>
      </c>
    </row>
    <row r="56" spans="1:7" ht="12.75" customHeight="1">
      <c r="A56" s="885" t="s">
        <v>732</v>
      </c>
      <c r="B56" s="886"/>
      <c r="C56" s="887"/>
      <c r="D56" s="887"/>
      <c r="E56" s="887"/>
      <c r="F56" s="888"/>
      <c r="G56" s="367"/>
    </row>
    <row r="57" spans="1:7" ht="12.75" customHeight="1">
      <c r="A57" s="885" t="s">
        <v>733</v>
      </c>
      <c r="B57" s="886"/>
      <c r="C57" s="887"/>
      <c r="D57" s="887"/>
      <c r="E57" s="887"/>
      <c r="F57" s="888"/>
      <c r="G57" s="367"/>
    </row>
    <row r="58" spans="1:7" ht="12.75" customHeight="1">
      <c r="A58" s="885" t="s">
        <v>734</v>
      </c>
      <c r="B58" s="886"/>
      <c r="C58" s="887"/>
      <c r="D58" s="887"/>
      <c r="E58" s="887"/>
      <c r="F58" s="888"/>
      <c r="G58" s="367"/>
    </row>
    <row r="59" spans="1:7" ht="4.5" customHeight="1">
      <c r="A59" s="390"/>
      <c r="B59" s="390"/>
      <c r="C59" s="390"/>
      <c r="D59" s="390"/>
      <c r="E59" s="390"/>
      <c r="F59" s="391"/>
      <c r="G59" s="392"/>
    </row>
    <row r="60" spans="1:7">
      <c r="A60" s="317"/>
      <c r="F60" s="317"/>
    </row>
    <row r="61" spans="1:7">
      <c r="A61" s="393" t="str">
        <f>'4_Anzeichnungsprotokoll'!A84</f>
        <v xml:space="preserve">Ort / Datum:  </v>
      </c>
      <c r="B61" s="487" t="str">
        <f>IF('4_Anzeichnungsprotokoll'!D84&gt;0,'4_Anzeichnungsprotokoll'!D84,"")</f>
        <v/>
      </c>
      <c r="C61" s="488">
        <f ca="1">'4_Anzeichnungsprotokoll'!G84</f>
        <v>44857</v>
      </c>
      <c r="D61" s="900" t="s">
        <v>1026</v>
      </c>
      <c r="E61" s="900"/>
      <c r="F61" s="850" t="str">
        <f>IF('4_Anzeichnungsprotokoll'!X8&gt;0,'4_Anzeichnungsprotokoll'!X8,"")</f>
        <v/>
      </c>
      <c r="G61" s="850"/>
    </row>
    <row r="62" spans="1:7">
      <c r="B62" s="394"/>
      <c r="C62" s="394"/>
      <c r="D62" s="394"/>
    </row>
    <row r="63" spans="1:7">
      <c r="A63" s="395"/>
      <c r="B63" s="395"/>
      <c r="C63" s="395"/>
      <c r="D63" s="395"/>
      <c r="E63" s="396"/>
      <c r="F63" s="397"/>
      <c r="G63" s="396"/>
    </row>
    <row r="64" spans="1:7">
      <c r="B64" s="394"/>
      <c r="C64" s="394"/>
      <c r="D64" s="394"/>
    </row>
    <row r="65" spans="1:6">
      <c r="B65" s="394"/>
      <c r="C65" s="394"/>
      <c r="D65" s="394"/>
    </row>
    <row r="66" spans="1:6">
      <c r="B66" s="394"/>
      <c r="C66" s="394"/>
      <c r="D66" s="394"/>
    </row>
    <row r="67" spans="1:6">
      <c r="B67" s="394"/>
      <c r="C67" s="394"/>
      <c r="D67" s="394"/>
    </row>
    <row r="68" spans="1:6">
      <c r="B68" s="394"/>
      <c r="C68" s="394"/>
      <c r="D68" s="394"/>
    </row>
    <row r="69" spans="1:6">
      <c r="B69" s="394"/>
      <c r="C69" s="394"/>
      <c r="D69" s="394"/>
    </row>
    <row r="70" spans="1:6">
      <c r="B70" s="394"/>
      <c r="C70" s="394"/>
      <c r="D70" s="394"/>
    </row>
    <row r="71" spans="1:6">
      <c r="B71" s="394"/>
      <c r="C71" s="394"/>
      <c r="D71" s="394"/>
    </row>
    <row r="72" spans="1:6">
      <c r="B72" s="394"/>
      <c r="C72" s="394"/>
      <c r="D72" s="394"/>
    </row>
    <row r="73" spans="1:6">
      <c r="B73" s="394"/>
      <c r="C73" s="394"/>
      <c r="D73" s="394"/>
    </row>
    <row r="74" spans="1:6">
      <c r="B74" s="394"/>
      <c r="C74" s="394"/>
      <c r="D74" s="394"/>
    </row>
    <row r="75" spans="1:6">
      <c r="A75" s="317"/>
      <c r="B75" s="394"/>
      <c r="C75" s="394"/>
      <c r="D75" s="394"/>
      <c r="F75" s="317"/>
    </row>
    <row r="76" spans="1:6">
      <c r="A76" s="317"/>
      <c r="B76" s="394"/>
      <c r="C76" s="394"/>
      <c r="D76" s="394"/>
      <c r="F76" s="317"/>
    </row>
    <row r="77" spans="1:6">
      <c r="A77" s="317"/>
      <c r="B77" s="394"/>
      <c r="C77" s="394"/>
      <c r="D77" s="394"/>
      <c r="F77" s="317"/>
    </row>
    <row r="78" spans="1:6">
      <c r="A78" s="317"/>
      <c r="B78" s="394"/>
      <c r="C78" s="394"/>
      <c r="D78" s="394"/>
      <c r="F78" s="317"/>
    </row>
    <row r="79" spans="1:6">
      <c r="A79" s="317"/>
      <c r="B79" s="394"/>
      <c r="C79" s="394"/>
      <c r="D79" s="394"/>
      <c r="F79" s="317"/>
    </row>
    <row r="80" spans="1:6">
      <c r="A80" s="317"/>
      <c r="B80" s="394"/>
      <c r="C80" s="394"/>
      <c r="D80" s="394"/>
      <c r="F80" s="317"/>
    </row>
    <row r="81" spans="1:6">
      <c r="A81" s="317"/>
      <c r="B81" s="394"/>
      <c r="C81" s="394"/>
      <c r="D81" s="394"/>
      <c r="F81" s="317"/>
    </row>
    <row r="82" spans="1:6">
      <c r="A82" s="317"/>
      <c r="B82" s="394"/>
      <c r="C82" s="394"/>
      <c r="D82" s="394"/>
      <c r="F82" s="317"/>
    </row>
    <row r="83" spans="1:6">
      <c r="A83" s="317"/>
      <c r="B83" s="394"/>
      <c r="C83" s="394"/>
      <c r="D83" s="394"/>
      <c r="F83" s="317"/>
    </row>
    <row r="84" spans="1:6">
      <c r="A84" s="317"/>
      <c r="B84" s="394"/>
      <c r="C84" s="394"/>
      <c r="D84" s="394"/>
      <c r="F84" s="317"/>
    </row>
    <row r="85" spans="1:6">
      <c r="A85" s="317"/>
      <c r="B85" s="394"/>
      <c r="C85" s="394"/>
      <c r="D85" s="394"/>
      <c r="F85" s="317"/>
    </row>
    <row r="86" spans="1:6">
      <c r="A86" s="317"/>
      <c r="B86" s="394"/>
      <c r="C86" s="394"/>
      <c r="D86" s="394"/>
      <c r="F86" s="317"/>
    </row>
    <row r="87" spans="1:6">
      <c r="A87" s="317"/>
      <c r="B87" s="394"/>
      <c r="C87" s="394"/>
      <c r="D87" s="394"/>
      <c r="F87" s="317"/>
    </row>
    <row r="88" spans="1:6">
      <c r="A88" s="317"/>
      <c r="B88" s="394"/>
      <c r="C88" s="394"/>
      <c r="D88" s="394"/>
      <c r="F88" s="317"/>
    </row>
    <row r="89" spans="1:6">
      <c r="A89" s="317"/>
      <c r="B89" s="394"/>
      <c r="C89" s="394"/>
      <c r="D89" s="394"/>
      <c r="F89" s="317"/>
    </row>
    <row r="90" spans="1:6">
      <c r="A90" s="317"/>
      <c r="B90" s="394"/>
      <c r="C90" s="394"/>
      <c r="D90" s="394"/>
      <c r="F90" s="317"/>
    </row>
    <row r="91" spans="1:6">
      <c r="A91" s="317"/>
      <c r="B91" s="394"/>
      <c r="C91" s="394"/>
      <c r="D91" s="394"/>
      <c r="F91" s="317"/>
    </row>
    <row r="92" spans="1:6">
      <c r="A92" s="317"/>
      <c r="B92" s="394"/>
      <c r="C92" s="394"/>
      <c r="D92" s="394"/>
      <c r="F92" s="317"/>
    </row>
    <row r="93" spans="1:6">
      <c r="A93" s="317"/>
      <c r="B93" s="394"/>
      <c r="C93" s="394"/>
      <c r="D93" s="394"/>
      <c r="F93" s="317"/>
    </row>
    <row r="94" spans="1:6">
      <c r="A94" s="317"/>
      <c r="B94" s="394"/>
      <c r="C94" s="394"/>
      <c r="D94" s="394"/>
      <c r="F94" s="317"/>
    </row>
    <row r="95" spans="1:6">
      <c r="A95" s="317"/>
      <c r="B95" s="394"/>
      <c r="C95" s="394"/>
      <c r="D95" s="394"/>
      <c r="F95" s="317"/>
    </row>
    <row r="96" spans="1:6">
      <c r="A96" s="317"/>
      <c r="B96" s="394"/>
      <c r="C96" s="394"/>
      <c r="D96" s="394"/>
      <c r="F96" s="317"/>
    </row>
    <row r="97" spans="1:6">
      <c r="A97" s="317"/>
      <c r="B97" s="394"/>
      <c r="C97" s="394"/>
      <c r="D97" s="394"/>
      <c r="F97" s="317"/>
    </row>
    <row r="98" spans="1:6">
      <c r="A98" s="317"/>
      <c r="B98" s="394"/>
      <c r="C98" s="394"/>
      <c r="D98" s="394"/>
      <c r="F98" s="317"/>
    </row>
    <row r="99" spans="1:6">
      <c r="A99" s="317"/>
      <c r="B99" s="394"/>
      <c r="C99" s="394"/>
      <c r="D99" s="394"/>
      <c r="F99" s="317"/>
    </row>
    <row r="100" spans="1:6">
      <c r="A100" s="317"/>
      <c r="B100" s="394"/>
      <c r="C100" s="394"/>
      <c r="D100" s="394"/>
      <c r="F100" s="317"/>
    </row>
    <row r="101" spans="1:6">
      <c r="A101" s="317"/>
      <c r="B101" s="394"/>
      <c r="C101" s="394"/>
      <c r="D101" s="394"/>
      <c r="F101" s="317"/>
    </row>
    <row r="102" spans="1:6">
      <c r="A102" s="317"/>
      <c r="B102" s="394"/>
      <c r="C102" s="394"/>
      <c r="D102" s="394"/>
      <c r="F102" s="317"/>
    </row>
    <row r="103" spans="1:6">
      <c r="A103" s="317"/>
      <c r="B103" s="394"/>
      <c r="C103" s="394"/>
      <c r="D103" s="394"/>
      <c r="F103" s="317"/>
    </row>
    <row r="104" spans="1:6">
      <c r="A104" s="317"/>
      <c r="B104" s="394"/>
      <c r="C104" s="394"/>
      <c r="D104" s="394"/>
      <c r="F104" s="317"/>
    </row>
    <row r="105" spans="1:6">
      <c r="A105" s="317"/>
      <c r="B105" s="394"/>
      <c r="C105" s="394"/>
      <c r="D105" s="394"/>
      <c r="F105" s="317"/>
    </row>
    <row r="106" spans="1:6">
      <c r="A106" s="317"/>
      <c r="B106" s="394"/>
      <c r="C106" s="394"/>
      <c r="D106" s="394"/>
      <c r="F106" s="317"/>
    </row>
    <row r="107" spans="1:6">
      <c r="A107" s="317"/>
      <c r="B107" s="394"/>
      <c r="C107" s="394"/>
      <c r="D107" s="394"/>
      <c r="F107" s="317"/>
    </row>
    <row r="108" spans="1:6">
      <c r="A108" s="317"/>
      <c r="B108" s="394"/>
      <c r="C108" s="394"/>
      <c r="D108" s="394"/>
      <c r="F108" s="317"/>
    </row>
    <row r="109" spans="1:6">
      <c r="A109" s="317"/>
      <c r="B109" s="394"/>
      <c r="C109" s="394"/>
      <c r="D109" s="394"/>
      <c r="F109" s="317"/>
    </row>
    <row r="110" spans="1:6">
      <c r="A110" s="317"/>
      <c r="B110" s="394"/>
      <c r="C110" s="394"/>
      <c r="D110" s="394"/>
      <c r="F110" s="317"/>
    </row>
    <row r="111" spans="1:6">
      <c r="A111" s="317"/>
      <c r="B111" s="394"/>
      <c r="C111" s="394"/>
      <c r="D111" s="394"/>
      <c r="F111" s="317"/>
    </row>
    <row r="112" spans="1:6">
      <c r="A112" s="317"/>
      <c r="B112" s="394"/>
      <c r="C112" s="394"/>
      <c r="D112" s="394"/>
      <c r="F112" s="317"/>
    </row>
    <row r="113" spans="1:6">
      <c r="A113" s="317"/>
      <c r="B113" s="394"/>
      <c r="C113" s="394"/>
      <c r="D113" s="394"/>
      <c r="F113" s="317"/>
    </row>
    <row r="114" spans="1:6">
      <c r="A114" s="317"/>
      <c r="B114" s="394"/>
      <c r="C114" s="394"/>
      <c r="D114" s="394"/>
      <c r="F114" s="317"/>
    </row>
    <row r="115" spans="1:6">
      <c r="A115" s="317"/>
      <c r="B115" s="394"/>
      <c r="C115" s="394"/>
      <c r="D115" s="394"/>
      <c r="F115" s="317"/>
    </row>
    <row r="116" spans="1:6">
      <c r="A116" s="317"/>
      <c r="B116" s="394"/>
      <c r="C116" s="394"/>
      <c r="D116" s="394"/>
      <c r="F116" s="317"/>
    </row>
    <row r="117" spans="1:6">
      <c r="A117" s="317"/>
      <c r="B117" s="394"/>
      <c r="C117" s="394"/>
      <c r="D117" s="394"/>
      <c r="F117" s="317"/>
    </row>
    <row r="118" spans="1:6">
      <c r="A118" s="317"/>
      <c r="B118" s="394"/>
      <c r="C118" s="394"/>
      <c r="D118" s="394"/>
      <c r="F118" s="317"/>
    </row>
    <row r="119" spans="1:6">
      <c r="A119" s="317"/>
      <c r="B119" s="394"/>
      <c r="C119" s="394"/>
      <c r="D119" s="394"/>
      <c r="F119" s="317"/>
    </row>
    <row r="120" spans="1:6">
      <c r="A120" s="317"/>
      <c r="B120" s="394"/>
      <c r="C120" s="394"/>
      <c r="D120" s="394"/>
      <c r="F120" s="317"/>
    </row>
    <row r="121" spans="1:6">
      <c r="A121" s="317"/>
      <c r="B121" s="394"/>
      <c r="C121" s="394"/>
      <c r="D121" s="394"/>
      <c r="F121" s="317"/>
    </row>
    <row r="122" spans="1:6">
      <c r="A122" s="317"/>
      <c r="B122" s="394"/>
      <c r="C122" s="394"/>
      <c r="D122" s="394"/>
      <c r="F122" s="317"/>
    </row>
    <row r="123" spans="1:6">
      <c r="A123" s="317"/>
      <c r="B123" s="394"/>
      <c r="C123" s="394"/>
      <c r="D123" s="394"/>
      <c r="F123" s="317"/>
    </row>
    <row r="124" spans="1:6">
      <c r="A124" s="317"/>
      <c r="B124" s="394"/>
      <c r="C124" s="394"/>
      <c r="D124" s="394"/>
      <c r="F124" s="317"/>
    </row>
    <row r="125" spans="1:6">
      <c r="A125" s="317"/>
      <c r="B125" s="394"/>
      <c r="C125" s="394"/>
      <c r="D125" s="394"/>
      <c r="F125" s="317"/>
    </row>
    <row r="126" spans="1:6">
      <c r="A126" s="317"/>
      <c r="B126" s="394"/>
      <c r="C126" s="394"/>
      <c r="D126" s="394"/>
      <c r="F126" s="317"/>
    </row>
    <row r="127" spans="1:6">
      <c r="A127" s="317"/>
      <c r="B127" s="394"/>
      <c r="C127" s="394"/>
      <c r="D127" s="394"/>
      <c r="F127" s="317"/>
    </row>
    <row r="128" spans="1:6">
      <c r="A128" s="317"/>
      <c r="B128" s="394"/>
      <c r="C128" s="394"/>
      <c r="D128" s="394"/>
      <c r="F128" s="317"/>
    </row>
    <row r="129" spans="1:6">
      <c r="A129" s="317"/>
      <c r="B129" s="394"/>
      <c r="C129" s="394"/>
      <c r="D129" s="394"/>
      <c r="F129" s="317"/>
    </row>
    <row r="130" spans="1:6">
      <c r="A130" s="317"/>
      <c r="B130" s="394"/>
      <c r="C130" s="394"/>
      <c r="D130" s="394"/>
      <c r="F130" s="317"/>
    </row>
    <row r="131" spans="1:6">
      <c r="A131" s="317"/>
      <c r="B131" s="394"/>
      <c r="C131" s="394"/>
      <c r="D131" s="394"/>
      <c r="F131" s="317"/>
    </row>
    <row r="132" spans="1:6">
      <c r="A132" s="317"/>
      <c r="B132" s="394"/>
      <c r="C132" s="394"/>
      <c r="D132" s="394"/>
      <c r="F132" s="317"/>
    </row>
    <row r="133" spans="1:6">
      <c r="A133" s="317"/>
      <c r="B133" s="394"/>
      <c r="C133" s="394"/>
      <c r="D133" s="394"/>
      <c r="F133" s="317"/>
    </row>
    <row r="134" spans="1:6">
      <c r="A134" s="317"/>
      <c r="B134" s="394"/>
      <c r="C134" s="394"/>
      <c r="D134" s="394"/>
      <c r="F134" s="317"/>
    </row>
    <row r="135" spans="1:6">
      <c r="A135" s="317"/>
      <c r="B135" s="394"/>
      <c r="C135" s="394"/>
      <c r="D135" s="394"/>
      <c r="F135" s="317"/>
    </row>
    <row r="136" spans="1:6">
      <c r="A136" s="317"/>
      <c r="B136" s="394"/>
      <c r="C136" s="394"/>
      <c r="D136" s="394"/>
      <c r="F136" s="317"/>
    </row>
    <row r="137" spans="1:6">
      <c r="A137" s="317"/>
      <c r="B137" s="394"/>
      <c r="C137" s="394"/>
      <c r="D137" s="394"/>
      <c r="F137" s="317"/>
    </row>
    <row r="138" spans="1:6">
      <c r="A138" s="317"/>
      <c r="B138" s="394"/>
      <c r="C138" s="394"/>
      <c r="D138" s="394"/>
      <c r="F138" s="317"/>
    </row>
    <row r="139" spans="1:6">
      <c r="A139" s="317"/>
      <c r="B139" s="394"/>
      <c r="C139" s="394"/>
      <c r="D139" s="394"/>
      <c r="F139" s="317"/>
    </row>
    <row r="140" spans="1:6">
      <c r="A140" s="317"/>
      <c r="B140" s="394"/>
      <c r="C140" s="394"/>
      <c r="D140" s="394"/>
      <c r="F140" s="317"/>
    </row>
    <row r="141" spans="1:6">
      <c r="A141" s="317"/>
      <c r="B141" s="394"/>
      <c r="C141" s="394"/>
      <c r="D141" s="394"/>
      <c r="F141" s="317"/>
    </row>
    <row r="142" spans="1:6">
      <c r="A142" s="317"/>
      <c r="B142" s="394"/>
      <c r="C142" s="394"/>
      <c r="D142" s="394"/>
      <c r="F142" s="317"/>
    </row>
    <row r="143" spans="1:6">
      <c r="A143" s="317"/>
      <c r="B143" s="394"/>
      <c r="C143" s="394"/>
      <c r="D143" s="394"/>
      <c r="F143" s="317"/>
    </row>
    <row r="144" spans="1:6">
      <c r="A144" s="317"/>
      <c r="B144" s="394"/>
      <c r="C144" s="394"/>
      <c r="D144" s="394"/>
      <c r="F144" s="317"/>
    </row>
    <row r="145" spans="1:6">
      <c r="A145" s="317"/>
      <c r="B145" s="394"/>
      <c r="C145" s="394"/>
      <c r="D145" s="394"/>
      <c r="F145" s="317"/>
    </row>
    <row r="146" spans="1:6">
      <c r="A146" s="317"/>
      <c r="B146" s="394"/>
      <c r="C146" s="394"/>
      <c r="D146" s="394"/>
      <c r="F146" s="317"/>
    </row>
    <row r="147" spans="1:6">
      <c r="A147" s="317"/>
      <c r="B147" s="394"/>
      <c r="C147" s="394"/>
      <c r="D147" s="394"/>
      <c r="F147" s="317"/>
    </row>
    <row r="148" spans="1:6">
      <c r="A148" s="317"/>
      <c r="B148" s="394"/>
      <c r="C148" s="394"/>
      <c r="D148" s="394"/>
      <c r="F148" s="317"/>
    </row>
    <row r="149" spans="1:6">
      <c r="A149" s="317"/>
      <c r="B149" s="394"/>
      <c r="C149" s="394"/>
      <c r="D149" s="394"/>
      <c r="F149" s="317"/>
    </row>
    <row r="150" spans="1:6">
      <c r="A150" s="317"/>
      <c r="B150" s="394"/>
      <c r="C150" s="394"/>
      <c r="D150" s="394"/>
      <c r="F150" s="317"/>
    </row>
    <row r="151" spans="1:6">
      <c r="A151" s="317"/>
      <c r="B151" s="394"/>
      <c r="C151" s="394"/>
      <c r="D151" s="394"/>
      <c r="F151" s="317"/>
    </row>
    <row r="152" spans="1:6">
      <c r="A152" s="317"/>
      <c r="B152" s="394"/>
      <c r="C152" s="394"/>
      <c r="D152" s="394"/>
      <c r="F152" s="317"/>
    </row>
    <row r="153" spans="1:6">
      <c r="A153" s="317"/>
      <c r="B153" s="394"/>
      <c r="C153" s="394"/>
      <c r="D153" s="394"/>
      <c r="F153" s="317"/>
    </row>
    <row r="154" spans="1:6">
      <c r="A154" s="317"/>
      <c r="B154" s="394"/>
      <c r="C154" s="394"/>
      <c r="D154" s="394"/>
      <c r="F154" s="317"/>
    </row>
    <row r="155" spans="1:6">
      <c r="A155" s="317"/>
      <c r="B155" s="394"/>
      <c r="C155" s="394"/>
      <c r="D155" s="394"/>
      <c r="F155" s="317"/>
    </row>
    <row r="156" spans="1:6">
      <c r="A156" s="317"/>
      <c r="B156" s="394"/>
      <c r="C156" s="394"/>
      <c r="D156" s="394"/>
      <c r="F156" s="317"/>
    </row>
    <row r="157" spans="1:6">
      <c r="A157" s="317"/>
      <c r="B157" s="394"/>
      <c r="C157" s="394"/>
      <c r="D157" s="394"/>
      <c r="F157" s="317"/>
    </row>
    <row r="158" spans="1:6">
      <c r="A158" s="317"/>
      <c r="B158" s="394"/>
      <c r="C158" s="394"/>
      <c r="D158" s="394"/>
      <c r="F158" s="317"/>
    </row>
  </sheetData>
  <sheetProtection sheet="1" objects="1" selectLockedCells="1"/>
  <mergeCells count="59">
    <mergeCell ref="D61:E61"/>
    <mergeCell ref="A7:C7"/>
    <mergeCell ref="A9:D9"/>
    <mergeCell ref="A10:D10"/>
    <mergeCell ref="A11:D11"/>
    <mergeCell ref="A22:D22"/>
    <mergeCell ref="A18:D18"/>
    <mergeCell ref="A19:D19"/>
    <mergeCell ref="A12:D12"/>
    <mergeCell ref="A13:D13"/>
    <mergeCell ref="A14:D14"/>
    <mergeCell ref="A15:D15"/>
    <mergeCell ref="A16:D16"/>
    <mergeCell ref="A17:D17"/>
    <mergeCell ref="E19:F19"/>
    <mergeCell ref="A20:D20"/>
    <mergeCell ref="A21:D21"/>
    <mergeCell ref="A34:D34"/>
    <mergeCell ref="A23:D23"/>
    <mergeCell ref="A24:D24"/>
    <mergeCell ref="A25:D25"/>
    <mergeCell ref="A26:D26"/>
    <mergeCell ref="A27:D27"/>
    <mergeCell ref="A28:D28"/>
    <mergeCell ref="A29:D29"/>
    <mergeCell ref="A30:D30"/>
    <mergeCell ref="A31:D31"/>
    <mergeCell ref="A32:D32"/>
    <mergeCell ref="A33:D33"/>
    <mergeCell ref="A58:B58"/>
    <mergeCell ref="C58:F58"/>
    <mergeCell ref="A55:F55"/>
    <mergeCell ref="A40:D40"/>
    <mergeCell ref="A41:D41"/>
    <mergeCell ref="A42:D42"/>
    <mergeCell ref="A43:D43"/>
    <mergeCell ref="B45:F45"/>
    <mergeCell ref="A46:D46"/>
    <mergeCell ref="E39:F39"/>
    <mergeCell ref="A56:B56"/>
    <mergeCell ref="C56:F56"/>
    <mergeCell ref="A57:B57"/>
    <mergeCell ref="C57:F57"/>
    <mergeCell ref="F61:G61"/>
    <mergeCell ref="F3:G3"/>
    <mergeCell ref="A3:E3"/>
    <mergeCell ref="A49:F49"/>
    <mergeCell ref="A51:F51"/>
    <mergeCell ref="A52:C52"/>
    <mergeCell ref="D52:F52"/>
    <mergeCell ref="A47:C47"/>
    <mergeCell ref="A50:B50"/>
    <mergeCell ref="C50:F50"/>
    <mergeCell ref="A48:F48"/>
    <mergeCell ref="A35:D35"/>
    <mergeCell ref="A36:D36"/>
    <mergeCell ref="A37:E37"/>
    <mergeCell ref="A38:E38"/>
    <mergeCell ref="A39:D39"/>
  </mergeCells>
  <conditionalFormatting sqref="A47:C47">
    <cfRule type="containsText" dxfId="1" priority="1" operator="containsText" text="Holzerlös manuell berechnet">
      <formula>NOT(ISERROR(SEARCH("Holzerlös manuell berechnet",A47)))</formula>
    </cfRule>
    <cfRule type="containsText" dxfId="0" priority="2" operator="containsText" text="Holzerlös manuell berechnet">
      <formula>NOT(ISERROR(SEARCH("Holzerlös manuell berechnet",A47)))</formula>
    </cfRule>
  </conditionalFormatting>
  <pageMargins left="0.7" right="0.7" top="0.78740157499999996" bottom="0.78740157499999996" header="0.3" footer="0.3"/>
  <pageSetup paperSize="9" scale="81" orientation="portrait" r:id="rId1"/>
  <headerFooter>
    <oddHeader xml:space="preserve">&amp;LAmt für Wald
und Naturgefahren
&amp;CBeilage 7
Berechnung E-Pauschale&amp;RPflege im OSW KS 6.1/7
Version 20/1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1618" r:id="rId4" name="Drop Down 2">
              <controlPr defaultSize="0" autoLine="0" autoPict="0">
                <anchor moveWithCells="1">
                  <from>
                    <xdr:col>3</xdr:col>
                    <xdr:colOff>9525</xdr:colOff>
                    <xdr:row>6</xdr:row>
                    <xdr:rowOff>9525</xdr:rowOff>
                  </from>
                  <to>
                    <xdr:col>4</xdr:col>
                    <xdr:colOff>371475</xdr:colOff>
                    <xdr:row>6</xdr:row>
                    <xdr:rowOff>209550</xdr:rowOff>
                  </to>
                </anchor>
              </controlPr>
            </control>
          </mc:Choice>
        </mc:AlternateContent>
        <mc:AlternateContent xmlns:mc="http://schemas.openxmlformats.org/markup-compatibility/2006">
          <mc:Choice Requires="x14">
            <control shapeId="111619" r:id="rId5" name="Check Box 3">
              <controlPr defaultSize="0" autoFill="0" autoLine="0" autoPict="0">
                <anchor moveWithCells="1">
                  <from>
                    <xdr:col>4</xdr:col>
                    <xdr:colOff>247650</xdr:colOff>
                    <xdr:row>8</xdr:row>
                    <xdr:rowOff>152400</xdr:rowOff>
                  </from>
                  <to>
                    <xdr:col>4</xdr:col>
                    <xdr:colOff>723900</xdr:colOff>
                    <xdr:row>10</xdr:row>
                    <xdr:rowOff>9525</xdr:rowOff>
                  </to>
                </anchor>
              </controlPr>
            </control>
          </mc:Choice>
        </mc:AlternateContent>
        <mc:AlternateContent xmlns:mc="http://schemas.openxmlformats.org/markup-compatibility/2006">
          <mc:Choice Requires="x14">
            <control shapeId="111620" r:id="rId6" name="Drop Down 4">
              <controlPr defaultSize="0" autoLine="0" autoPict="0">
                <anchor moveWithCells="1">
                  <from>
                    <xdr:col>4</xdr:col>
                    <xdr:colOff>0</xdr:colOff>
                    <xdr:row>10</xdr:row>
                    <xdr:rowOff>0</xdr:rowOff>
                  </from>
                  <to>
                    <xdr:col>4</xdr:col>
                    <xdr:colOff>762000</xdr:colOff>
                    <xdr:row>11</xdr:row>
                    <xdr:rowOff>0</xdr:rowOff>
                  </to>
                </anchor>
              </controlPr>
            </control>
          </mc:Choice>
        </mc:AlternateContent>
        <mc:AlternateContent xmlns:mc="http://schemas.openxmlformats.org/markup-compatibility/2006">
          <mc:Choice Requires="x14">
            <control shapeId="111621" r:id="rId7" name="Check Box 5">
              <controlPr defaultSize="0" autoFill="0" autoLine="0" autoPict="0">
                <anchor moveWithCells="1">
                  <from>
                    <xdr:col>4</xdr:col>
                    <xdr:colOff>238125</xdr:colOff>
                    <xdr:row>12</xdr:row>
                    <xdr:rowOff>114300</xdr:rowOff>
                  </from>
                  <to>
                    <xdr:col>4</xdr:col>
                    <xdr:colOff>714375</xdr:colOff>
                    <xdr:row>12</xdr:row>
                    <xdr:rowOff>333375</xdr:rowOff>
                  </to>
                </anchor>
              </controlPr>
            </control>
          </mc:Choice>
        </mc:AlternateContent>
        <mc:AlternateContent xmlns:mc="http://schemas.openxmlformats.org/markup-compatibility/2006">
          <mc:Choice Requires="x14">
            <control shapeId="111622" r:id="rId8" name="Check Box 6">
              <controlPr defaultSize="0" autoFill="0" autoLine="0" autoPict="0">
                <anchor moveWithCells="1">
                  <from>
                    <xdr:col>4</xdr:col>
                    <xdr:colOff>238125</xdr:colOff>
                    <xdr:row>12</xdr:row>
                    <xdr:rowOff>619125</xdr:rowOff>
                  </from>
                  <to>
                    <xdr:col>4</xdr:col>
                    <xdr:colOff>714375</xdr:colOff>
                    <xdr:row>13</xdr:row>
                    <xdr:rowOff>190500</xdr:rowOff>
                  </to>
                </anchor>
              </controlPr>
            </control>
          </mc:Choice>
        </mc:AlternateContent>
        <mc:AlternateContent xmlns:mc="http://schemas.openxmlformats.org/markup-compatibility/2006">
          <mc:Choice Requires="x14">
            <control shapeId="111623" r:id="rId9" name="Drop Down 7">
              <controlPr defaultSize="0" autoLine="0" autoPict="0">
                <anchor moveWithCells="1">
                  <from>
                    <xdr:col>4</xdr:col>
                    <xdr:colOff>0</xdr:colOff>
                    <xdr:row>15</xdr:row>
                    <xdr:rowOff>0</xdr:rowOff>
                  </from>
                  <to>
                    <xdr:col>4</xdr:col>
                    <xdr:colOff>762000</xdr:colOff>
                    <xdr:row>16</xdr:row>
                    <xdr:rowOff>0</xdr:rowOff>
                  </to>
                </anchor>
              </controlPr>
            </control>
          </mc:Choice>
        </mc:AlternateContent>
        <mc:AlternateContent xmlns:mc="http://schemas.openxmlformats.org/markup-compatibility/2006">
          <mc:Choice Requires="x14">
            <control shapeId="111624" r:id="rId10" name="Drop Down 8">
              <controlPr defaultSize="0" autoLine="0" autoPict="0">
                <anchor moveWithCells="1">
                  <from>
                    <xdr:col>4</xdr:col>
                    <xdr:colOff>0</xdr:colOff>
                    <xdr:row>24</xdr:row>
                    <xdr:rowOff>66675</xdr:rowOff>
                  </from>
                  <to>
                    <xdr:col>4</xdr:col>
                    <xdr:colOff>771525</xdr:colOff>
                    <xdr:row>24</xdr:row>
                    <xdr:rowOff>276225</xdr:rowOff>
                  </to>
                </anchor>
              </controlPr>
            </control>
          </mc:Choice>
        </mc:AlternateContent>
        <mc:AlternateContent xmlns:mc="http://schemas.openxmlformats.org/markup-compatibility/2006">
          <mc:Choice Requires="x14">
            <control shapeId="111625" r:id="rId11" name="Drop Down 9">
              <controlPr defaultSize="0" autoLine="0" autoPict="0">
                <anchor moveWithCells="1">
                  <from>
                    <xdr:col>4</xdr:col>
                    <xdr:colOff>9525</xdr:colOff>
                    <xdr:row>25</xdr:row>
                    <xdr:rowOff>66675</xdr:rowOff>
                  </from>
                  <to>
                    <xdr:col>4</xdr:col>
                    <xdr:colOff>771525</xdr:colOff>
                    <xdr:row>25</xdr:row>
                    <xdr:rowOff>257175</xdr:rowOff>
                  </to>
                </anchor>
              </controlPr>
            </control>
          </mc:Choice>
        </mc:AlternateContent>
        <mc:AlternateContent xmlns:mc="http://schemas.openxmlformats.org/markup-compatibility/2006">
          <mc:Choice Requires="x14">
            <control shapeId="111626" r:id="rId12" name="Check Box 10">
              <controlPr defaultSize="0" autoFill="0" autoLine="0" autoPict="0">
                <anchor moveWithCells="1">
                  <from>
                    <xdr:col>4</xdr:col>
                    <xdr:colOff>66675</xdr:colOff>
                    <xdr:row>17</xdr:row>
                    <xdr:rowOff>38100</xdr:rowOff>
                  </from>
                  <to>
                    <xdr:col>4</xdr:col>
                    <xdr:colOff>752475</xdr:colOff>
                    <xdr:row>18</xdr:row>
                    <xdr:rowOff>19050</xdr:rowOff>
                  </to>
                </anchor>
              </controlPr>
            </control>
          </mc:Choice>
        </mc:AlternateContent>
        <mc:AlternateContent xmlns:mc="http://schemas.openxmlformats.org/markup-compatibility/2006">
          <mc:Choice Requires="x14">
            <control shapeId="111627" r:id="rId13" name="Check Box 11">
              <controlPr locked="0" defaultSize="0" autoFill="0" autoLine="0" autoPict="0">
                <anchor moveWithCells="1">
                  <from>
                    <xdr:col>4</xdr:col>
                    <xdr:colOff>247650</xdr:colOff>
                    <xdr:row>25</xdr:row>
                    <xdr:rowOff>295275</xdr:rowOff>
                  </from>
                  <to>
                    <xdr:col>4</xdr:col>
                    <xdr:colOff>723900</xdr:colOff>
                    <xdr:row>27</xdr:row>
                    <xdr:rowOff>0</xdr:rowOff>
                  </to>
                </anchor>
              </controlPr>
            </control>
          </mc:Choice>
        </mc:AlternateContent>
        <mc:AlternateContent xmlns:mc="http://schemas.openxmlformats.org/markup-compatibility/2006">
          <mc:Choice Requires="x14">
            <control shapeId="111628" r:id="rId14" name="Drop Down 12">
              <controlPr defaultSize="0" autoLine="0" autoPict="0">
                <anchor moveWithCells="1">
                  <from>
                    <xdr:col>4</xdr:col>
                    <xdr:colOff>0</xdr:colOff>
                    <xdr:row>29</xdr:row>
                    <xdr:rowOff>0</xdr:rowOff>
                  </from>
                  <to>
                    <xdr:col>4</xdr:col>
                    <xdr:colOff>771525</xdr:colOff>
                    <xdr:row>30</xdr:row>
                    <xdr:rowOff>0</xdr:rowOff>
                  </to>
                </anchor>
              </controlPr>
            </control>
          </mc:Choice>
        </mc:AlternateContent>
        <mc:AlternateContent xmlns:mc="http://schemas.openxmlformats.org/markup-compatibility/2006">
          <mc:Choice Requires="x14">
            <control shapeId="111629" r:id="rId15" name="Check Box 13">
              <controlPr locked="0" defaultSize="0" autoFill="0" autoLine="0" autoPict="0">
                <anchor moveWithCells="1">
                  <from>
                    <xdr:col>4</xdr:col>
                    <xdr:colOff>247650</xdr:colOff>
                    <xdr:row>26</xdr:row>
                    <xdr:rowOff>190500</xdr:rowOff>
                  </from>
                  <to>
                    <xdr:col>4</xdr:col>
                    <xdr:colOff>723900</xdr:colOff>
                    <xdr:row>28</xdr:row>
                    <xdr:rowOff>9525</xdr:rowOff>
                  </to>
                </anchor>
              </controlPr>
            </control>
          </mc:Choice>
        </mc:AlternateContent>
        <mc:AlternateContent xmlns:mc="http://schemas.openxmlformats.org/markup-compatibility/2006">
          <mc:Choice Requires="x14">
            <control shapeId="111630" r:id="rId16" name="Drop Down 14">
              <controlPr defaultSize="0" autoLine="0" autoPict="0">
                <anchor moveWithCells="1">
                  <from>
                    <xdr:col>4</xdr:col>
                    <xdr:colOff>0</xdr:colOff>
                    <xdr:row>35</xdr:row>
                    <xdr:rowOff>47625</xdr:rowOff>
                  </from>
                  <to>
                    <xdr:col>4</xdr:col>
                    <xdr:colOff>1000125</xdr:colOff>
                    <xdr:row>35</xdr:row>
                    <xdr:rowOff>285750</xdr:rowOff>
                  </to>
                </anchor>
              </controlPr>
            </control>
          </mc:Choice>
        </mc:AlternateContent>
        <mc:AlternateContent xmlns:mc="http://schemas.openxmlformats.org/markup-compatibility/2006">
          <mc:Choice Requires="x14">
            <control shapeId="111631" r:id="rId17" name="Drop Down 15">
              <controlPr defaultSize="0" autoLine="0" autoPict="0">
                <anchor moveWithCells="1">
                  <from>
                    <xdr:col>4</xdr:col>
                    <xdr:colOff>0</xdr:colOff>
                    <xdr:row>34</xdr:row>
                    <xdr:rowOff>0</xdr:rowOff>
                  </from>
                  <to>
                    <xdr:col>4</xdr:col>
                    <xdr:colOff>771525</xdr:colOff>
                    <xdr:row>35</xdr:row>
                    <xdr:rowOff>0</xdr:rowOff>
                  </to>
                </anchor>
              </controlPr>
            </control>
          </mc:Choice>
        </mc:AlternateContent>
        <mc:AlternateContent xmlns:mc="http://schemas.openxmlformats.org/markup-compatibility/2006">
          <mc:Choice Requires="x14">
            <control shapeId="111632" r:id="rId18" name="Drop Down 16">
              <controlPr defaultSize="0" autoLine="0" autoPict="0">
                <anchor moveWithCells="1">
                  <from>
                    <xdr:col>4</xdr:col>
                    <xdr:colOff>0</xdr:colOff>
                    <xdr:row>33</xdr:row>
                    <xdr:rowOff>0</xdr:rowOff>
                  </from>
                  <to>
                    <xdr:col>4</xdr:col>
                    <xdr:colOff>1000125</xdr:colOff>
                    <xdr:row>34</xdr:row>
                    <xdr:rowOff>0</xdr:rowOff>
                  </to>
                </anchor>
              </controlPr>
            </control>
          </mc:Choice>
        </mc:AlternateContent>
        <mc:AlternateContent xmlns:mc="http://schemas.openxmlformats.org/markup-compatibility/2006">
          <mc:Choice Requires="x14">
            <control shapeId="111633" r:id="rId19" name="Drop Down 17">
              <controlPr defaultSize="0" autoLine="0" autoPict="0">
                <anchor moveWithCells="1">
                  <from>
                    <xdr:col>4</xdr:col>
                    <xdr:colOff>0</xdr:colOff>
                    <xdr:row>46</xdr:row>
                    <xdr:rowOff>0</xdr:rowOff>
                  </from>
                  <to>
                    <xdr:col>5</xdr:col>
                    <xdr:colOff>752475</xdr:colOff>
                    <xdr:row>47</xdr:row>
                    <xdr:rowOff>0</xdr:rowOff>
                  </to>
                </anchor>
              </controlPr>
            </control>
          </mc:Choice>
        </mc:AlternateContent>
        <mc:AlternateContent xmlns:mc="http://schemas.openxmlformats.org/markup-compatibility/2006">
          <mc:Choice Requires="x14">
            <control shapeId="111634" r:id="rId20" name="Check Box 18">
              <controlPr locked="0" defaultSize="0" autoFill="0" autoLine="0" autoPict="0">
                <anchor moveWithCells="1">
                  <from>
                    <xdr:col>4</xdr:col>
                    <xdr:colOff>247650</xdr:colOff>
                    <xdr:row>29</xdr:row>
                    <xdr:rowOff>190500</xdr:rowOff>
                  </from>
                  <to>
                    <xdr:col>4</xdr:col>
                    <xdr:colOff>723900</xdr:colOff>
                    <xdr:row>31</xdr:row>
                    <xdr:rowOff>9525</xdr:rowOff>
                  </to>
                </anchor>
              </controlPr>
            </control>
          </mc:Choice>
        </mc:AlternateContent>
        <mc:AlternateContent xmlns:mc="http://schemas.openxmlformats.org/markup-compatibility/2006">
          <mc:Choice Requires="x14">
            <control shapeId="111635" r:id="rId21" name="Drop Down 19">
              <controlPr defaultSize="0" autoLine="0" autoPict="0">
                <anchor moveWithCells="1">
                  <from>
                    <xdr:col>4</xdr:col>
                    <xdr:colOff>0</xdr:colOff>
                    <xdr:row>32</xdr:row>
                    <xdr:rowOff>0</xdr:rowOff>
                  </from>
                  <to>
                    <xdr:col>4</xdr:col>
                    <xdr:colOff>771525</xdr:colOff>
                    <xdr:row>33</xdr:row>
                    <xdr:rowOff>0</xdr:rowOff>
                  </to>
                </anchor>
              </controlPr>
            </control>
          </mc:Choice>
        </mc:AlternateContent>
        <mc:AlternateContent xmlns:mc="http://schemas.openxmlformats.org/markup-compatibility/2006">
          <mc:Choice Requires="x14">
            <control shapeId="111636" r:id="rId22" name="Drop Down 20">
              <controlPr defaultSize="0" autoLine="0" autoPict="0">
                <anchor moveWithCells="1">
                  <from>
                    <xdr:col>4</xdr:col>
                    <xdr:colOff>0</xdr:colOff>
                    <xdr:row>31</xdr:row>
                    <xdr:rowOff>0</xdr:rowOff>
                  </from>
                  <to>
                    <xdr:col>4</xdr:col>
                    <xdr:colOff>771525</xdr:colOff>
                    <xdr:row>32</xdr:row>
                    <xdr:rowOff>0</xdr:rowOff>
                  </to>
                </anchor>
              </controlPr>
            </control>
          </mc:Choice>
        </mc:AlternateContent>
        <mc:AlternateContent xmlns:mc="http://schemas.openxmlformats.org/markup-compatibility/2006">
          <mc:Choice Requires="x14">
            <control shapeId="111637" r:id="rId23" name="Check Box 21">
              <controlPr defaultSize="0" autoFill="0" autoLine="0" autoPict="0">
                <anchor moveWithCells="1">
                  <from>
                    <xdr:col>5</xdr:col>
                    <xdr:colOff>66675</xdr:colOff>
                    <xdr:row>17</xdr:row>
                    <xdr:rowOff>47625</xdr:rowOff>
                  </from>
                  <to>
                    <xdr:col>5</xdr:col>
                    <xdr:colOff>762000</xdr:colOff>
                    <xdr:row>18</xdr:row>
                    <xdr:rowOff>28575</xdr:rowOff>
                  </to>
                </anchor>
              </controlPr>
            </control>
          </mc:Choice>
        </mc:AlternateContent>
        <mc:AlternateContent xmlns:mc="http://schemas.openxmlformats.org/markup-compatibility/2006">
          <mc:Choice Requires="x14">
            <control shapeId="111638" r:id="rId24" name="Drop Down 22">
              <controlPr defaultSize="0" autoLine="0" autoPict="0">
                <anchor moveWithCells="1">
                  <from>
                    <xdr:col>4</xdr:col>
                    <xdr:colOff>0</xdr:colOff>
                    <xdr:row>40</xdr:row>
                    <xdr:rowOff>0</xdr:rowOff>
                  </from>
                  <to>
                    <xdr:col>4</xdr:col>
                    <xdr:colOff>781050</xdr:colOff>
                    <xdr:row>41</xdr:row>
                    <xdr:rowOff>0</xdr:rowOff>
                  </to>
                </anchor>
              </controlPr>
            </control>
          </mc:Choice>
        </mc:AlternateContent>
        <mc:AlternateContent xmlns:mc="http://schemas.openxmlformats.org/markup-compatibility/2006">
          <mc:Choice Requires="x14">
            <control shapeId="111640" r:id="rId25" name="Check Box 24">
              <controlPr defaultSize="0" autoFill="0" autoLine="0" autoPict="0">
                <anchor moveWithCells="1">
                  <from>
                    <xdr:col>4</xdr:col>
                    <xdr:colOff>247650</xdr:colOff>
                    <xdr:row>22</xdr:row>
                    <xdr:rowOff>152400</xdr:rowOff>
                  </from>
                  <to>
                    <xdr:col>4</xdr:col>
                    <xdr:colOff>723900</xdr:colOff>
                    <xdr:row>24</xdr:row>
                    <xdr:rowOff>9525</xdr:rowOff>
                  </to>
                </anchor>
              </controlPr>
            </control>
          </mc:Choice>
        </mc:AlternateContent>
        <mc:AlternateContent xmlns:mc="http://schemas.openxmlformats.org/markup-compatibility/2006">
          <mc:Choice Requires="x14">
            <control shapeId="111641" r:id="rId26" name="Check Box 25">
              <controlPr defaultSize="0" autoFill="0" autoLine="0" autoPict="0">
                <anchor moveWithCells="1">
                  <from>
                    <xdr:col>4</xdr:col>
                    <xdr:colOff>238125</xdr:colOff>
                    <xdr:row>12</xdr:row>
                    <xdr:rowOff>381000</xdr:rowOff>
                  </from>
                  <to>
                    <xdr:col>5</xdr:col>
                    <xdr:colOff>466725</xdr:colOff>
                    <xdr:row>12</xdr:row>
                    <xdr:rowOff>609600</xdr:rowOff>
                  </to>
                </anchor>
              </controlPr>
            </control>
          </mc:Choice>
        </mc:AlternateContent>
        <mc:AlternateContent xmlns:mc="http://schemas.openxmlformats.org/markup-compatibility/2006">
          <mc:Choice Requires="x14">
            <control shapeId="111642" r:id="rId27" name="Check Box 26">
              <controlPr defaultSize="0" autoFill="0" autoLine="0" autoPict="0">
                <anchor moveWithCells="1">
                  <from>
                    <xdr:col>4</xdr:col>
                    <xdr:colOff>209550</xdr:colOff>
                    <xdr:row>11</xdr:row>
                    <xdr:rowOff>0</xdr:rowOff>
                  </from>
                  <to>
                    <xdr:col>4</xdr:col>
                    <xdr:colOff>685800</xdr:colOff>
                    <xdr:row>12</xdr:row>
                    <xdr:rowOff>19050</xdr:rowOff>
                  </to>
                </anchor>
              </controlPr>
            </control>
          </mc:Choice>
        </mc:AlternateContent>
        <mc:AlternateContent xmlns:mc="http://schemas.openxmlformats.org/markup-compatibility/2006">
          <mc:Choice Requires="x14">
            <control shapeId="111643" r:id="rId28" name="Check Box 27">
              <controlPr defaultSize="0" autoFill="0" autoLine="0" autoPict="0">
                <anchor moveWithCells="1">
                  <from>
                    <xdr:col>4</xdr:col>
                    <xdr:colOff>66675</xdr:colOff>
                    <xdr:row>16</xdr:row>
                    <xdr:rowOff>19050</xdr:rowOff>
                  </from>
                  <to>
                    <xdr:col>4</xdr:col>
                    <xdr:colOff>752475</xdr:colOff>
                    <xdr:row>16</xdr:row>
                    <xdr:rowOff>190500</xdr:rowOff>
                  </to>
                </anchor>
              </controlPr>
            </control>
          </mc:Choice>
        </mc:AlternateContent>
        <mc:AlternateContent xmlns:mc="http://schemas.openxmlformats.org/markup-compatibility/2006">
          <mc:Choice Requires="x14">
            <control shapeId="111644" r:id="rId29" name="Check Box 28">
              <controlPr defaultSize="0" autoFill="0" autoLine="0" autoPict="0">
                <anchor moveWithCells="1">
                  <from>
                    <xdr:col>5</xdr:col>
                    <xdr:colOff>66675</xdr:colOff>
                    <xdr:row>16</xdr:row>
                    <xdr:rowOff>19050</xdr:rowOff>
                  </from>
                  <to>
                    <xdr:col>5</xdr:col>
                    <xdr:colOff>762000</xdr:colOff>
                    <xdr:row>16</xdr:row>
                    <xdr:rowOff>190500</xdr:rowOff>
                  </to>
                </anchor>
              </controlPr>
            </control>
          </mc:Choice>
        </mc:AlternateContent>
        <mc:AlternateContent xmlns:mc="http://schemas.openxmlformats.org/markup-compatibility/2006">
          <mc:Choice Requires="x14">
            <control shapeId="111645" r:id="rId30" name="Check Box 29">
              <controlPr locked="0" defaultSize="0" autoFill="0" autoLine="0" autoPict="0">
                <anchor moveWithCells="1">
                  <from>
                    <xdr:col>4</xdr:col>
                    <xdr:colOff>247650</xdr:colOff>
                    <xdr:row>26</xdr:row>
                    <xdr:rowOff>295275</xdr:rowOff>
                  </from>
                  <to>
                    <xdr:col>4</xdr:col>
                    <xdr:colOff>723900</xdr:colOff>
                    <xdr:row>28</xdr:row>
                    <xdr:rowOff>19050</xdr:rowOff>
                  </to>
                </anchor>
              </controlPr>
            </control>
          </mc:Choice>
        </mc:AlternateContent>
        <mc:AlternateContent xmlns:mc="http://schemas.openxmlformats.org/markup-compatibility/2006">
          <mc:Choice Requires="x14">
            <control shapeId="111646" r:id="rId31" name="Check Box 30">
              <controlPr locked="0" defaultSize="0" autoFill="0" autoLine="0" autoPict="0">
                <anchor moveWithCells="1">
                  <from>
                    <xdr:col>4</xdr:col>
                    <xdr:colOff>247650</xdr:colOff>
                    <xdr:row>27</xdr:row>
                    <xdr:rowOff>190500</xdr:rowOff>
                  </from>
                  <to>
                    <xdr:col>4</xdr:col>
                    <xdr:colOff>723900</xdr:colOff>
                    <xdr:row>29</xdr:row>
                    <xdr:rowOff>9525</xdr:rowOff>
                  </to>
                </anchor>
              </controlPr>
            </control>
          </mc:Choice>
        </mc:AlternateContent>
        <mc:AlternateContent xmlns:mc="http://schemas.openxmlformats.org/markup-compatibility/2006">
          <mc:Choice Requires="x14">
            <control shapeId="111649" r:id="rId32" name="Check Box 33">
              <controlPr locked="0" defaultSize="0" autoFill="0" autoLine="0" autoPict="0">
                <anchor moveWithCells="1">
                  <from>
                    <xdr:col>0</xdr:col>
                    <xdr:colOff>628650</xdr:colOff>
                    <xdr:row>51</xdr:row>
                    <xdr:rowOff>171450</xdr:rowOff>
                  </from>
                  <to>
                    <xdr:col>1</xdr:col>
                    <xdr:colOff>95250</xdr:colOff>
                    <xdr:row>53</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8" tint="0.79998168889431442"/>
    <pageSetUpPr fitToPage="1"/>
  </sheetPr>
  <dimension ref="A1:BO283"/>
  <sheetViews>
    <sheetView topLeftCell="A10" zoomScale="90" zoomScaleNormal="90" workbookViewId="0">
      <selection activeCell="AI17" sqref="AI17:AT19"/>
    </sheetView>
  </sheetViews>
  <sheetFormatPr baseColWidth="10" defaultColWidth="2.85546875" defaultRowHeight="7.5" customHeight="1"/>
  <cols>
    <col min="1" max="10" width="2.85546875" style="84"/>
    <col min="11" max="11" width="2.85546875" style="84" customWidth="1"/>
    <col min="12" max="23" width="2.85546875" style="84"/>
    <col min="24" max="26" width="2.42578125" style="84" customWidth="1"/>
    <col min="27" max="29" width="2.85546875" style="84"/>
    <col min="30" max="34" width="2.7109375" style="84" customWidth="1"/>
    <col min="35" max="38" width="3" style="84" customWidth="1"/>
    <col min="39" max="42" width="2.7109375" style="84" customWidth="1"/>
    <col min="43" max="46" width="3" style="84" customWidth="1"/>
    <col min="47" max="47" width="12.7109375" style="84" customWidth="1"/>
    <col min="48" max="48" width="9.7109375" style="84" customWidth="1"/>
    <col min="49" max="50" width="5" style="84" customWidth="1"/>
    <col min="51" max="51" width="9.5703125" style="84" customWidth="1"/>
    <col min="52" max="58" width="5" style="84" customWidth="1"/>
    <col min="59" max="16384" width="2.85546875" style="84"/>
  </cols>
  <sheetData>
    <row r="1" spans="1:67" ht="6" customHeight="1">
      <c r="A1" s="1152" t="s">
        <v>140</v>
      </c>
      <c r="B1" s="1152"/>
      <c r="C1" s="1152"/>
      <c r="D1" s="1152"/>
      <c r="E1" s="1152"/>
      <c r="F1" s="1152"/>
      <c r="G1" s="1152"/>
      <c r="H1" s="1152"/>
      <c r="I1" s="1152"/>
      <c r="J1" s="1152"/>
      <c r="K1" s="1152"/>
      <c r="L1" s="1152"/>
      <c r="M1" s="1152"/>
      <c r="N1" s="1152"/>
      <c r="O1" s="1152"/>
      <c r="P1" s="1152"/>
      <c r="Q1" s="1152"/>
      <c r="R1" s="1150" t="s">
        <v>141</v>
      </c>
      <c r="S1" s="1150"/>
      <c r="T1" s="1150"/>
      <c r="U1" s="1150"/>
      <c r="V1" s="1150"/>
      <c r="W1" s="1150"/>
      <c r="X1" s="1150"/>
      <c r="Y1" s="1150"/>
      <c r="Z1" s="1150"/>
      <c r="AA1" s="995" t="s">
        <v>567</v>
      </c>
      <c r="AB1" s="995"/>
      <c r="AC1" s="995"/>
      <c r="AD1" s="995"/>
      <c r="AE1" s="995"/>
      <c r="AF1" s="995"/>
      <c r="AG1" s="995"/>
      <c r="AH1" s="995"/>
      <c r="AI1" s="995"/>
      <c r="AJ1" s="995"/>
      <c r="AK1" s="995"/>
      <c r="AL1" s="995"/>
      <c r="AM1" s="995"/>
      <c r="AN1" s="995"/>
      <c r="AO1" s="995"/>
      <c r="AP1" s="995"/>
      <c r="AQ1" s="995"/>
      <c r="AR1" s="995"/>
      <c r="AS1" s="995"/>
      <c r="AT1" s="995"/>
    </row>
    <row r="2" spans="1:67" ht="7.5" customHeight="1">
      <c r="A2" s="1152"/>
      <c r="B2" s="1152">
        <v>2</v>
      </c>
      <c r="C2" s="1152"/>
      <c r="D2" s="1152"/>
      <c r="E2" s="1152"/>
      <c r="F2" s="1152"/>
      <c r="G2" s="1152"/>
      <c r="H2" s="1152"/>
      <c r="I2" s="1152"/>
      <c r="J2" s="1152"/>
      <c r="K2" s="1152"/>
      <c r="L2" s="1152"/>
      <c r="M2" s="1152"/>
      <c r="N2" s="1152"/>
      <c r="O2" s="1152"/>
      <c r="P2" s="1152"/>
      <c r="Q2" s="1152"/>
      <c r="R2" s="1150"/>
      <c r="S2" s="1150"/>
      <c r="T2" s="1150"/>
      <c r="U2" s="1150"/>
      <c r="V2" s="1150"/>
      <c r="W2" s="1150"/>
      <c r="X2" s="1150"/>
      <c r="Y2" s="1150"/>
      <c r="Z2" s="1150"/>
      <c r="AA2" s="995"/>
      <c r="AB2" s="995"/>
      <c r="AC2" s="995"/>
      <c r="AD2" s="995"/>
      <c r="AE2" s="995"/>
      <c r="AF2" s="995"/>
      <c r="AG2" s="995"/>
      <c r="AH2" s="995"/>
      <c r="AI2" s="995"/>
      <c r="AJ2" s="995"/>
      <c r="AK2" s="995"/>
      <c r="AL2" s="995"/>
      <c r="AM2" s="995"/>
      <c r="AN2" s="995"/>
      <c r="AO2" s="995"/>
      <c r="AP2" s="995"/>
      <c r="AQ2" s="995"/>
      <c r="AR2" s="995"/>
      <c r="AS2" s="995"/>
      <c r="AT2" s="995"/>
    </row>
    <row r="3" spans="1:67" ht="7.5" customHeight="1">
      <c r="A3" s="1152"/>
      <c r="B3" s="1152"/>
      <c r="C3" s="1152"/>
      <c r="D3" s="1152"/>
      <c r="E3" s="1152"/>
      <c r="F3" s="1152"/>
      <c r="G3" s="1152"/>
      <c r="H3" s="1152"/>
      <c r="I3" s="1152"/>
      <c r="J3" s="1152"/>
      <c r="K3" s="1152"/>
      <c r="L3" s="1152"/>
      <c r="M3" s="1152"/>
      <c r="N3" s="1152"/>
      <c r="O3" s="1152"/>
      <c r="P3" s="1152"/>
      <c r="Q3" s="1152"/>
      <c r="R3" s="1150"/>
      <c r="S3" s="1150"/>
      <c r="T3" s="1150"/>
      <c r="U3" s="1150"/>
      <c r="V3" s="1150"/>
      <c r="W3" s="1150"/>
      <c r="X3" s="1150"/>
      <c r="Y3" s="1150"/>
      <c r="Z3" s="1150"/>
      <c r="AA3" s="995" t="s">
        <v>1046</v>
      </c>
      <c r="AB3" s="995"/>
      <c r="AC3" s="995"/>
      <c r="AD3" s="995"/>
      <c r="AE3" s="995"/>
      <c r="AF3" s="995"/>
      <c r="AG3" s="995"/>
      <c r="AH3" s="995"/>
      <c r="AI3" s="995"/>
      <c r="AJ3" s="995"/>
      <c r="AK3" s="995"/>
      <c r="AL3" s="995"/>
      <c r="AM3" s="995"/>
      <c r="AN3" s="995"/>
      <c r="AO3" s="995"/>
      <c r="AP3" s="995"/>
      <c r="AQ3" s="995"/>
      <c r="AR3" s="995"/>
      <c r="AS3" s="995"/>
      <c r="AT3" s="995"/>
    </row>
    <row r="4" spans="1:67" ht="7.5" customHeight="1">
      <c r="A4" s="1153"/>
      <c r="B4" s="1153"/>
      <c r="C4" s="1153"/>
      <c r="D4" s="1153"/>
      <c r="E4" s="1153"/>
      <c r="F4" s="1153"/>
      <c r="G4" s="1153"/>
      <c r="H4" s="1153"/>
      <c r="I4" s="1153"/>
      <c r="J4" s="1153"/>
      <c r="K4" s="1153"/>
      <c r="L4" s="1153"/>
      <c r="M4" s="1153"/>
      <c r="N4" s="1153"/>
      <c r="O4" s="1153"/>
      <c r="P4" s="1153"/>
      <c r="Q4" s="1153"/>
      <c r="R4" s="1151"/>
      <c r="S4" s="1151"/>
      <c r="T4" s="1151"/>
      <c r="U4" s="1151"/>
      <c r="V4" s="1151"/>
      <c r="W4" s="1151"/>
      <c r="X4" s="1151"/>
      <c r="Y4" s="1151"/>
      <c r="Z4" s="1151"/>
      <c r="AA4" s="996"/>
      <c r="AB4" s="996"/>
      <c r="AC4" s="996"/>
      <c r="AD4" s="996"/>
      <c r="AE4" s="996"/>
      <c r="AF4" s="996"/>
      <c r="AG4" s="996"/>
      <c r="AH4" s="996"/>
      <c r="AI4" s="996"/>
      <c r="AJ4" s="996"/>
      <c r="AK4" s="996"/>
      <c r="AL4" s="996"/>
      <c r="AM4" s="996"/>
      <c r="AN4" s="996"/>
      <c r="AO4" s="996"/>
      <c r="AP4" s="996"/>
      <c r="AQ4" s="996"/>
      <c r="AR4" s="996"/>
      <c r="AS4" s="996"/>
      <c r="AT4" s="996"/>
    </row>
    <row r="5" spans="1:67" ht="6" customHeight="1">
      <c r="A5" s="1023"/>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3"/>
      <c r="AP5" s="1023"/>
      <c r="AQ5" s="1023"/>
      <c r="AR5" s="1023"/>
      <c r="AS5" s="1023"/>
      <c r="AT5" s="1023"/>
      <c r="AY5" s="90"/>
      <c r="AZ5" s="90"/>
      <c r="BA5" s="90"/>
      <c r="BB5" s="90"/>
      <c r="BC5" s="90"/>
      <c r="BD5" s="90"/>
      <c r="BE5" s="90"/>
      <c r="BF5" s="90"/>
      <c r="BG5" s="90"/>
      <c r="BH5" s="90"/>
      <c r="BI5" s="90"/>
      <c r="BJ5" s="90"/>
      <c r="BK5" s="90"/>
      <c r="BL5" s="90"/>
      <c r="BM5" s="90"/>
      <c r="BN5" s="90"/>
      <c r="BO5" s="90"/>
    </row>
    <row r="6" spans="1:67" ht="5.25" customHeight="1" thickBo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Y6" s="90"/>
      <c r="AZ6" s="90"/>
      <c r="BA6" s="90"/>
      <c r="BB6" s="90"/>
      <c r="BC6" s="90"/>
      <c r="BD6" s="90"/>
      <c r="BE6" s="90"/>
      <c r="BF6" s="90"/>
      <c r="BG6" s="90"/>
      <c r="BH6" s="90"/>
      <c r="BI6" s="90"/>
      <c r="BJ6" s="90"/>
      <c r="BK6" s="90"/>
      <c r="BL6" s="90"/>
      <c r="BM6" s="90"/>
      <c r="BN6" s="90"/>
      <c r="BO6" s="90"/>
    </row>
    <row r="7" spans="1:67" ht="7.5" customHeight="1">
      <c r="A7" s="1000" t="s">
        <v>907</v>
      </c>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154"/>
      <c r="AB7" s="1002"/>
      <c r="AC7" s="1002"/>
      <c r="AD7" s="1002"/>
      <c r="AE7" s="1002"/>
      <c r="AF7" s="1002"/>
      <c r="AG7" s="1002"/>
      <c r="AH7" s="1002"/>
      <c r="AI7" s="1158" t="s">
        <v>142</v>
      </c>
      <c r="AJ7" s="1159"/>
      <c r="AK7" s="1159"/>
      <c r="AL7" s="1159"/>
      <c r="AM7" s="1159"/>
      <c r="AN7" s="1159"/>
      <c r="AO7" s="1159"/>
      <c r="AP7" s="1159"/>
      <c r="AQ7" s="1159"/>
      <c r="AR7" s="1159"/>
      <c r="AS7" s="1159"/>
      <c r="AT7" s="1160"/>
      <c r="AY7" s="188"/>
      <c r="AZ7" s="188"/>
      <c r="BA7" s="188"/>
      <c r="BB7" s="188"/>
      <c r="BC7" s="188"/>
      <c r="BD7" s="188"/>
      <c r="BE7" s="188"/>
      <c r="BF7" s="188"/>
      <c r="BG7" s="188"/>
      <c r="BH7" s="188"/>
      <c r="BI7" s="188"/>
      <c r="BJ7" s="188"/>
      <c r="BK7" s="188"/>
      <c r="BL7" s="90"/>
      <c r="BM7" s="90"/>
      <c r="BN7" s="90"/>
      <c r="BO7" s="90"/>
    </row>
    <row r="8" spans="1:67" ht="7.5" customHeight="1">
      <c r="A8" s="977"/>
      <c r="B8" s="978">
        <v>2</v>
      </c>
      <c r="C8" s="978"/>
      <c r="D8" s="978"/>
      <c r="E8" s="978"/>
      <c r="F8" s="978"/>
      <c r="G8" s="978"/>
      <c r="H8" s="978"/>
      <c r="I8" s="978"/>
      <c r="J8" s="978"/>
      <c r="K8" s="978"/>
      <c r="L8" s="978"/>
      <c r="M8" s="978"/>
      <c r="N8" s="978"/>
      <c r="O8" s="978"/>
      <c r="P8" s="978"/>
      <c r="Q8" s="978"/>
      <c r="R8" s="978"/>
      <c r="S8" s="978"/>
      <c r="T8" s="978"/>
      <c r="U8" s="978"/>
      <c r="V8" s="978"/>
      <c r="W8" s="978"/>
      <c r="X8" s="978"/>
      <c r="Y8" s="978"/>
      <c r="Z8" s="978"/>
      <c r="AA8" s="1155"/>
      <c r="AB8" s="975"/>
      <c r="AC8" s="975"/>
      <c r="AD8" s="975"/>
      <c r="AE8" s="975"/>
      <c r="AF8" s="975"/>
      <c r="AG8" s="975"/>
      <c r="AH8" s="975"/>
      <c r="AI8" s="1161"/>
      <c r="AJ8" s="1162"/>
      <c r="AK8" s="1162"/>
      <c r="AL8" s="1162"/>
      <c r="AM8" s="1162"/>
      <c r="AN8" s="1162"/>
      <c r="AO8" s="1162"/>
      <c r="AP8" s="1162"/>
      <c r="AQ8" s="1162"/>
      <c r="AR8" s="1162"/>
      <c r="AS8" s="1162"/>
      <c r="AT8" s="1163"/>
      <c r="AY8" s="90"/>
      <c r="AZ8" s="90"/>
      <c r="BA8" s="90"/>
      <c r="BB8" s="90"/>
      <c r="BC8" s="90"/>
      <c r="BD8" s="90"/>
      <c r="BE8" s="90"/>
      <c r="BF8" s="90"/>
      <c r="BG8" s="90"/>
      <c r="BH8" s="90"/>
      <c r="BI8" s="90"/>
      <c r="BJ8" s="90"/>
      <c r="BK8" s="90"/>
      <c r="BL8" s="90"/>
      <c r="BM8" s="90"/>
      <c r="BN8" s="90"/>
      <c r="BO8" s="90"/>
    </row>
    <row r="9" spans="1:67" ht="7.5" customHeight="1" thickBot="1">
      <c r="A9" s="977"/>
      <c r="B9" s="978"/>
      <c r="C9" s="978"/>
      <c r="D9" s="978"/>
      <c r="E9" s="978"/>
      <c r="F9" s="978"/>
      <c r="G9" s="978"/>
      <c r="H9" s="978"/>
      <c r="I9" s="978"/>
      <c r="J9" s="978"/>
      <c r="K9" s="978"/>
      <c r="L9" s="978"/>
      <c r="M9" s="978"/>
      <c r="N9" s="978"/>
      <c r="O9" s="978"/>
      <c r="P9" s="978"/>
      <c r="Q9" s="978"/>
      <c r="R9" s="978"/>
      <c r="S9" s="978"/>
      <c r="T9" s="978"/>
      <c r="U9" s="978"/>
      <c r="V9" s="978"/>
      <c r="W9" s="978"/>
      <c r="X9" s="978"/>
      <c r="Y9" s="978"/>
      <c r="Z9" s="978"/>
      <c r="AA9" s="1156"/>
      <c r="AB9" s="1157"/>
      <c r="AC9" s="1157"/>
      <c r="AD9" s="1157"/>
      <c r="AE9" s="1157"/>
      <c r="AF9" s="1157"/>
      <c r="AG9" s="1157"/>
      <c r="AH9" s="1157"/>
      <c r="AI9" s="1164"/>
      <c r="AJ9" s="1165"/>
      <c r="AK9" s="1165"/>
      <c r="AL9" s="1165"/>
      <c r="AM9" s="1165"/>
      <c r="AN9" s="1165"/>
      <c r="AO9" s="1165"/>
      <c r="AP9" s="1165"/>
      <c r="AQ9" s="1165"/>
      <c r="AR9" s="1165"/>
      <c r="AS9" s="1165"/>
      <c r="AT9" s="1166"/>
      <c r="AY9" s="90"/>
      <c r="AZ9" s="90"/>
      <c r="BA9" s="90"/>
      <c r="BB9" s="90"/>
      <c r="BC9" s="90"/>
      <c r="BD9" s="90"/>
      <c r="BE9" s="90"/>
      <c r="BF9" s="90"/>
      <c r="BG9" s="90"/>
      <c r="BH9" s="90"/>
      <c r="BI9" s="90"/>
      <c r="BJ9" s="90"/>
      <c r="BK9" s="90"/>
      <c r="BL9" s="90"/>
      <c r="BM9" s="90"/>
      <c r="BN9" s="90"/>
      <c r="BO9" s="90"/>
    </row>
    <row r="10" spans="1:67" ht="3.75" customHeight="1">
      <c r="A10" s="977"/>
      <c r="B10" s="978"/>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1167"/>
      <c r="AB10" s="1005"/>
      <c r="AC10" s="1005"/>
      <c r="AD10" s="1005"/>
      <c r="AE10" s="1005"/>
      <c r="AF10" s="1005"/>
      <c r="AG10" s="1005"/>
      <c r="AH10" s="1005"/>
      <c r="AI10" s="1005"/>
      <c r="AJ10" s="1005"/>
      <c r="AK10" s="1005"/>
      <c r="AL10" s="1005"/>
      <c r="AM10" s="1005"/>
      <c r="AN10" s="1005"/>
      <c r="AO10" s="1005"/>
      <c r="AP10" s="1005"/>
      <c r="AQ10" s="1005"/>
      <c r="AR10" s="1005"/>
      <c r="AS10" s="1005"/>
      <c r="AT10" s="1006"/>
      <c r="AY10" s="90"/>
      <c r="AZ10" s="90"/>
      <c r="BA10" s="90"/>
      <c r="BB10" s="90"/>
      <c r="BC10" s="90"/>
      <c r="BD10" s="90"/>
      <c r="BE10" s="90"/>
      <c r="BF10" s="90"/>
      <c r="BG10" s="90"/>
      <c r="BH10" s="90"/>
      <c r="BI10" s="90"/>
      <c r="BJ10" s="90"/>
      <c r="BK10" s="90"/>
      <c r="BL10" s="90"/>
      <c r="BM10" s="90"/>
      <c r="BN10" s="90"/>
      <c r="BO10" s="90"/>
    </row>
    <row r="11" spans="1:67" ht="3.75" customHeight="1">
      <c r="A11" s="977"/>
      <c r="B11" s="978"/>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8"/>
      <c r="AA11" s="1167"/>
      <c r="AB11" s="1005"/>
      <c r="AC11" s="1005"/>
      <c r="AD11" s="1005"/>
      <c r="AE11" s="1005"/>
      <c r="AF11" s="1005"/>
      <c r="AG11" s="1005"/>
      <c r="AH11" s="1005"/>
      <c r="AI11" s="1005"/>
      <c r="AJ11" s="1005"/>
      <c r="AK11" s="1005"/>
      <c r="AL11" s="1005"/>
      <c r="AM11" s="1005"/>
      <c r="AN11" s="1005"/>
      <c r="AO11" s="1005"/>
      <c r="AP11" s="1005"/>
      <c r="AQ11" s="1005"/>
      <c r="AR11" s="1005"/>
      <c r="AS11" s="1005"/>
      <c r="AT11" s="1006"/>
      <c r="AY11" s="90"/>
      <c r="AZ11" s="90"/>
      <c r="BA11" s="90"/>
      <c r="BB11" s="90"/>
      <c r="BC11" s="90"/>
      <c r="BD11" s="90"/>
      <c r="BE11" s="90"/>
      <c r="BF11" s="90"/>
      <c r="BG11" s="90"/>
      <c r="BH11" s="90"/>
      <c r="BI11" s="90"/>
      <c r="BJ11" s="90"/>
      <c r="BK11" s="90"/>
      <c r="BL11" s="90"/>
      <c r="BM11" s="90"/>
      <c r="BN11" s="90"/>
      <c r="BO11" s="90"/>
    </row>
    <row r="12" spans="1:67" ht="3.75" customHeight="1">
      <c r="A12" s="977" t="s">
        <v>143</v>
      </c>
      <c r="B12" s="978"/>
      <c r="C12" s="978"/>
      <c r="D12" s="978"/>
      <c r="E12" s="978"/>
      <c r="F12" s="978"/>
      <c r="G12" s="978"/>
      <c r="H12" s="978"/>
      <c r="I12" s="978"/>
      <c r="J12" s="978"/>
      <c r="K12" s="978"/>
      <c r="L12" s="978"/>
      <c r="M12" s="978"/>
      <c r="N12" s="978"/>
      <c r="O12" s="978"/>
      <c r="P12" s="978"/>
      <c r="Q12" s="978"/>
      <c r="R12" s="978"/>
      <c r="S12" s="978"/>
      <c r="T12" s="978"/>
      <c r="U12" s="978"/>
      <c r="V12" s="978"/>
      <c r="W12" s="978"/>
      <c r="X12" s="978"/>
      <c r="Y12" s="978"/>
      <c r="Z12" s="978"/>
      <c r="AA12" s="1167"/>
      <c r="AB12" s="1005"/>
      <c r="AC12" s="1005"/>
      <c r="AD12" s="1005"/>
      <c r="AE12" s="1005"/>
      <c r="AF12" s="1005"/>
      <c r="AG12" s="1005"/>
      <c r="AH12" s="1005"/>
      <c r="AI12" s="1005"/>
      <c r="AJ12" s="1005"/>
      <c r="AK12" s="1005"/>
      <c r="AL12" s="1005"/>
      <c r="AM12" s="1005"/>
      <c r="AN12" s="1005"/>
      <c r="AO12" s="1005"/>
      <c r="AP12" s="1005"/>
      <c r="AQ12" s="1005"/>
      <c r="AR12" s="1005"/>
      <c r="AS12" s="1005"/>
      <c r="AT12" s="1006"/>
      <c r="AY12" s="90"/>
      <c r="AZ12" s="90"/>
      <c r="BA12" s="90"/>
      <c r="BB12" s="90"/>
      <c r="BC12" s="90"/>
      <c r="BD12" s="90"/>
      <c r="BE12" s="90"/>
      <c r="BF12" s="90"/>
      <c r="BG12" s="90"/>
      <c r="BH12" s="90"/>
      <c r="BI12" s="90"/>
      <c r="BJ12" s="90"/>
      <c r="BK12" s="90"/>
      <c r="BL12" s="90"/>
      <c r="BM12" s="90"/>
      <c r="BN12" s="90"/>
      <c r="BO12" s="90"/>
    </row>
    <row r="13" spans="1:67" ht="3.75" customHeight="1">
      <c r="A13" s="977"/>
      <c r="B13" s="978"/>
      <c r="C13" s="978"/>
      <c r="D13" s="978"/>
      <c r="E13" s="978"/>
      <c r="F13" s="978"/>
      <c r="G13" s="978"/>
      <c r="H13" s="978"/>
      <c r="I13" s="978"/>
      <c r="J13" s="978"/>
      <c r="K13" s="978"/>
      <c r="L13" s="978"/>
      <c r="M13" s="978"/>
      <c r="N13" s="978"/>
      <c r="O13" s="978"/>
      <c r="P13" s="978"/>
      <c r="Q13" s="978"/>
      <c r="R13" s="978"/>
      <c r="S13" s="978"/>
      <c r="T13" s="978"/>
      <c r="U13" s="978"/>
      <c r="V13" s="978"/>
      <c r="W13" s="978"/>
      <c r="X13" s="978"/>
      <c r="Y13" s="978"/>
      <c r="Z13" s="978"/>
      <c r="AA13" s="1167"/>
      <c r="AB13" s="1005"/>
      <c r="AC13" s="1005"/>
      <c r="AD13" s="1005"/>
      <c r="AE13" s="1005"/>
      <c r="AF13" s="1005"/>
      <c r="AG13" s="1005"/>
      <c r="AH13" s="1005"/>
      <c r="AI13" s="1005"/>
      <c r="AJ13" s="1005"/>
      <c r="AK13" s="1005"/>
      <c r="AL13" s="1005"/>
      <c r="AM13" s="1005"/>
      <c r="AN13" s="1005"/>
      <c r="AO13" s="1005"/>
      <c r="AP13" s="1005"/>
      <c r="AQ13" s="1005"/>
      <c r="AR13" s="1005"/>
      <c r="AS13" s="1005"/>
      <c r="AT13" s="1006"/>
      <c r="AY13" s="90"/>
      <c r="AZ13" s="90"/>
      <c r="BA13" s="90"/>
      <c r="BB13" s="90"/>
      <c r="BC13" s="90"/>
      <c r="BD13" s="90"/>
      <c r="BE13" s="90"/>
      <c r="BF13" s="90"/>
      <c r="BG13" s="90"/>
      <c r="BH13" s="90"/>
      <c r="BI13" s="90"/>
      <c r="BJ13" s="90"/>
      <c r="BK13" s="90"/>
      <c r="BL13" s="90"/>
      <c r="BM13" s="90"/>
      <c r="BN13" s="90"/>
      <c r="BO13" s="90"/>
    </row>
    <row r="14" spans="1:67" ht="3.75" customHeight="1">
      <c r="A14" s="977"/>
      <c r="B14" s="978"/>
      <c r="C14" s="978"/>
      <c r="D14" s="978"/>
      <c r="E14" s="978"/>
      <c r="F14" s="978"/>
      <c r="G14" s="978"/>
      <c r="H14" s="978"/>
      <c r="I14" s="978"/>
      <c r="J14" s="978"/>
      <c r="K14" s="978"/>
      <c r="L14" s="978"/>
      <c r="M14" s="978"/>
      <c r="N14" s="978"/>
      <c r="O14" s="978"/>
      <c r="P14" s="978"/>
      <c r="Q14" s="978"/>
      <c r="R14" s="978"/>
      <c r="S14" s="978"/>
      <c r="T14" s="978"/>
      <c r="U14" s="978"/>
      <c r="V14" s="978"/>
      <c r="W14" s="978"/>
      <c r="X14" s="978"/>
      <c r="Y14" s="978"/>
      <c r="Z14" s="978"/>
      <c r="AA14" s="1167"/>
      <c r="AB14" s="1005"/>
      <c r="AC14" s="1005"/>
      <c r="AD14" s="1005"/>
      <c r="AE14" s="1005"/>
      <c r="AF14" s="1005"/>
      <c r="AG14" s="1005"/>
      <c r="AH14" s="1005"/>
      <c r="AI14" s="1005"/>
      <c r="AJ14" s="1005"/>
      <c r="AK14" s="1005"/>
      <c r="AL14" s="1005"/>
      <c r="AM14" s="1005"/>
      <c r="AN14" s="1005"/>
      <c r="AO14" s="1005"/>
      <c r="AP14" s="1005"/>
      <c r="AQ14" s="1005"/>
      <c r="AR14" s="1005"/>
      <c r="AS14" s="1005"/>
      <c r="AT14" s="1006"/>
      <c r="AY14" s="90"/>
      <c r="AZ14" s="90"/>
      <c r="BA14" s="90"/>
      <c r="BB14" s="90"/>
      <c r="BC14" s="90"/>
      <c r="BD14" s="90"/>
      <c r="BE14" s="90"/>
      <c r="BF14" s="90"/>
      <c r="BG14" s="90"/>
      <c r="BH14" s="90"/>
      <c r="BI14" s="90"/>
      <c r="BJ14" s="90"/>
      <c r="BK14" s="90"/>
      <c r="BL14" s="90"/>
      <c r="BM14" s="90"/>
      <c r="BN14" s="90"/>
      <c r="BO14" s="90"/>
    </row>
    <row r="15" spans="1:67" ht="3.75" customHeight="1" thickBot="1">
      <c r="A15" s="979"/>
      <c r="B15" s="980"/>
      <c r="C15" s="980"/>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1168"/>
      <c r="AB15" s="1169"/>
      <c r="AC15" s="1169"/>
      <c r="AD15" s="1169"/>
      <c r="AE15" s="1169"/>
      <c r="AF15" s="1169"/>
      <c r="AG15" s="1169"/>
      <c r="AH15" s="1169"/>
      <c r="AI15" s="1169"/>
      <c r="AJ15" s="1169"/>
      <c r="AK15" s="1169"/>
      <c r="AL15" s="1169"/>
      <c r="AM15" s="1169"/>
      <c r="AN15" s="1169"/>
      <c r="AO15" s="1169"/>
      <c r="AP15" s="1169"/>
      <c r="AQ15" s="1169"/>
      <c r="AR15" s="1169"/>
      <c r="AS15" s="1169"/>
      <c r="AT15" s="1170"/>
    </row>
    <row r="16" spans="1:67" ht="7.5" customHeight="1">
      <c r="A16" s="1008"/>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row>
    <row r="17" spans="1:46" ht="7.5" customHeight="1">
      <c r="A17" s="1171" t="s">
        <v>144</v>
      </c>
      <c r="B17" s="1171"/>
      <c r="C17" s="1172" t="str">
        <f>IF('4_Anzeichnungsprotokoll'!D4="","",'4_Anzeichnungsprotokoll'!D4)</f>
        <v/>
      </c>
      <c r="D17" s="1172"/>
      <c r="E17" s="1172"/>
      <c r="F17" s="1172"/>
      <c r="G17" s="1172"/>
      <c r="H17" s="1174" t="s">
        <v>145</v>
      </c>
      <c r="I17" s="1174"/>
      <c r="J17" s="1174"/>
      <c r="K17" s="1175" t="str">
        <f>IF('4_Anzeichnungsprotokoll'!D8="","",'4_Anzeichnungsprotokoll'!D8)</f>
        <v/>
      </c>
      <c r="L17" s="1175"/>
      <c r="M17" s="1175"/>
      <c r="N17" s="1175"/>
      <c r="O17" s="1171" t="s">
        <v>146</v>
      </c>
      <c r="P17" s="1171"/>
      <c r="Q17" s="1171"/>
      <c r="R17" s="1171"/>
      <c r="S17" s="1031" t="str">
        <f>IF('4_Anzeichnungsprotokoll'!P8="","",'4_Anzeichnungsprotokoll'!P8)</f>
        <v/>
      </c>
      <c r="T17" s="1031"/>
      <c r="U17" s="1031"/>
      <c r="V17" s="1031"/>
      <c r="W17" s="1031"/>
      <c r="X17" s="1031"/>
      <c r="Y17" s="1031"/>
      <c r="Z17" s="1031"/>
      <c r="AA17" s="1031"/>
      <c r="AB17" s="1031"/>
      <c r="AC17" s="1031"/>
      <c r="AD17" s="1174" t="s">
        <v>147</v>
      </c>
      <c r="AE17" s="1174"/>
      <c r="AF17" s="1174"/>
      <c r="AG17" s="1174"/>
      <c r="AH17" s="1174"/>
      <c r="AI17" s="1178" t="str">
        <f>IF('4_Anzeichnungsprotokoll'!D23=0,"",'4_Anzeichnungsprotokoll'!D23)</f>
        <v/>
      </c>
      <c r="AJ17" s="1178"/>
      <c r="AK17" s="1178"/>
      <c r="AL17" s="1178"/>
      <c r="AM17" s="1178"/>
      <c r="AN17" s="1178"/>
      <c r="AO17" s="1178"/>
      <c r="AP17" s="1178"/>
      <c r="AQ17" s="1178"/>
      <c r="AR17" s="1178"/>
      <c r="AS17" s="1178"/>
      <c r="AT17" s="1178"/>
    </row>
    <row r="18" spans="1:46" ht="7.5" customHeight="1">
      <c r="A18" s="1171"/>
      <c r="B18" s="1171"/>
      <c r="C18" s="1172"/>
      <c r="D18" s="1172"/>
      <c r="E18" s="1172"/>
      <c r="F18" s="1172"/>
      <c r="G18" s="1172"/>
      <c r="H18" s="1174"/>
      <c r="I18" s="1174"/>
      <c r="J18" s="1174"/>
      <c r="K18" s="1175"/>
      <c r="L18" s="1175"/>
      <c r="M18" s="1175"/>
      <c r="N18" s="1175"/>
      <c r="O18" s="1171"/>
      <c r="P18" s="1171"/>
      <c r="Q18" s="1171"/>
      <c r="R18" s="1171"/>
      <c r="S18" s="1031"/>
      <c r="T18" s="1031"/>
      <c r="U18" s="1031"/>
      <c r="V18" s="1031"/>
      <c r="W18" s="1031"/>
      <c r="X18" s="1031"/>
      <c r="Y18" s="1031"/>
      <c r="Z18" s="1031"/>
      <c r="AA18" s="1031"/>
      <c r="AB18" s="1031"/>
      <c r="AC18" s="1031"/>
      <c r="AD18" s="1174"/>
      <c r="AE18" s="1174"/>
      <c r="AF18" s="1174"/>
      <c r="AG18" s="1174"/>
      <c r="AH18" s="1174"/>
      <c r="AI18" s="1178"/>
      <c r="AJ18" s="1178"/>
      <c r="AK18" s="1178"/>
      <c r="AL18" s="1178"/>
      <c r="AM18" s="1178"/>
      <c r="AN18" s="1178"/>
      <c r="AO18" s="1178"/>
      <c r="AP18" s="1178"/>
      <c r="AQ18" s="1178"/>
      <c r="AR18" s="1178"/>
      <c r="AS18" s="1178"/>
      <c r="AT18" s="1178"/>
    </row>
    <row r="19" spans="1:46" ht="7.5" customHeight="1">
      <c r="A19" s="1171"/>
      <c r="B19" s="1171"/>
      <c r="C19" s="1173"/>
      <c r="D19" s="1173"/>
      <c r="E19" s="1173"/>
      <c r="F19" s="1173"/>
      <c r="G19" s="1173" t="b">
        <v>0</v>
      </c>
      <c r="H19" s="1174"/>
      <c r="I19" s="1174"/>
      <c r="J19" s="1174"/>
      <c r="K19" s="1176"/>
      <c r="L19" s="1176"/>
      <c r="M19" s="1176"/>
      <c r="N19" s="1176"/>
      <c r="O19" s="1171"/>
      <c r="P19" s="1171"/>
      <c r="Q19" s="1171"/>
      <c r="R19" s="1171"/>
      <c r="S19" s="1177"/>
      <c r="T19" s="1177"/>
      <c r="U19" s="1177"/>
      <c r="V19" s="1177"/>
      <c r="W19" s="1177"/>
      <c r="X19" s="1177"/>
      <c r="Y19" s="1177"/>
      <c r="Z19" s="1177"/>
      <c r="AA19" s="1177"/>
      <c r="AB19" s="1177"/>
      <c r="AC19" s="1177"/>
      <c r="AD19" s="1174"/>
      <c r="AE19" s="1174"/>
      <c r="AF19" s="1174"/>
      <c r="AG19" s="1174"/>
      <c r="AH19" s="1174"/>
      <c r="AI19" s="1179"/>
      <c r="AJ19" s="1179"/>
      <c r="AK19" s="1179"/>
      <c r="AL19" s="1179"/>
      <c r="AM19" s="1179"/>
      <c r="AN19" s="1179"/>
      <c r="AO19" s="1179"/>
      <c r="AP19" s="1179"/>
      <c r="AQ19" s="1179"/>
      <c r="AR19" s="1179"/>
      <c r="AS19" s="1179"/>
      <c r="AT19" s="1179"/>
    </row>
    <row r="20" spans="1:46" ht="7.5" customHeight="1" thickBot="1">
      <c r="A20" s="1008"/>
      <c r="B20" s="1008"/>
      <c r="C20" s="1008"/>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c r="AO20" s="1008"/>
      <c r="AP20" s="1008"/>
      <c r="AQ20" s="1008"/>
      <c r="AR20" s="1008"/>
      <c r="AS20" s="1008"/>
      <c r="AT20" s="1008"/>
    </row>
    <row r="21" spans="1:46" ht="7.5" customHeigh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7"/>
    </row>
    <row r="22" spans="1:46" ht="7.5" customHeight="1">
      <c r="A22" s="1030">
        <v>1</v>
      </c>
      <c r="B22" s="1031" t="s">
        <v>148</v>
      </c>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9"/>
    </row>
    <row r="23" spans="1:46" ht="7.5" customHeight="1">
      <c r="A23" s="1030"/>
      <c r="B23" s="598"/>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9"/>
    </row>
    <row r="24" spans="1:46" ht="7.5" customHeight="1">
      <c r="A24" s="88"/>
      <c r="B24" s="1115" t="s">
        <v>149</v>
      </c>
      <c r="C24" s="1115"/>
      <c r="D24" s="1115"/>
      <c r="E24" s="1115"/>
      <c r="F24" s="1115"/>
      <c r="G24" s="1115"/>
      <c r="H24" s="1183" t="str">
        <f>CONCATENATE('4_Anzeichnungsprotokoll'!C11," ",'4_Anzeichnungsprotokoll'!C12)</f>
        <v xml:space="preserve"> </v>
      </c>
      <c r="I24" s="1183"/>
      <c r="J24" s="1183"/>
      <c r="K24" s="1183"/>
      <c r="L24" s="1183"/>
      <c r="M24" s="1183"/>
      <c r="N24" s="1183"/>
      <c r="O24" s="1183"/>
      <c r="P24" s="1183"/>
      <c r="Q24" s="1183"/>
      <c r="R24" s="1183"/>
      <c r="S24" s="1183"/>
      <c r="T24" s="1183"/>
      <c r="U24" s="1183"/>
      <c r="V24" s="1183"/>
      <c r="W24" s="1098" t="s">
        <v>150</v>
      </c>
      <c r="X24" s="1098"/>
      <c r="Y24" s="1098"/>
      <c r="Z24" s="1098"/>
      <c r="AA24" s="1180"/>
      <c r="AB24" s="1181"/>
      <c r="AC24" s="1181"/>
      <c r="AD24" s="1181"/>
      <c r="AE24" s="1181"/>
      <c r="AF24" s="1181"/>
      <c r="AG24" s="1181"/>
      <c r="AH24" s="1181"/>
      <c r="AI24" s="1181"/>
      <c r="AJ24" s="1181"/>
      <c r="AK24" s="1181"/>
      <c r="AL24" s="1181"/>
      <c r="AM24" s="1181"/>
      <c r="AN24" s="90"/>
      <c r="AO24" s="90"/>
      <c r="AP24" s="1123"/>
      <c r="AQ24" s="1146" t="s">
        <v>151</v>
      </c>
      <c r="AR24" s="1146"/>
      <c r="AS24" s="1146"/>
      <c r="AT24" s="1147"/>
    </row>
    <row r="25" spans="1:46" ht="7.5" customHeight="1">
      <c r="A25" s="88"/>
      <c r="B25" s="1115"/>
      <c r="C25" s="1115"/>
      <c r="D25" s="1115"/>
      <c r="E25" s="1115"/>
      <c r="F25" s="1115"/>
      <c r="G25" s="1115"/>
      <c r="H25" s="1183"/>
      <c r="I25" s="1183"/>
      <c r="J25" s="1183"/>
      <c r="K25" s="1183"/>
      <c r="L25" s="1183"/>
      <c r="M25" s="1183"/>
      <c r="N25" s="1183"/>
      <c r="O25" s="1183"/>
      <c r="P25" s="1183"/>
      <c r="Q25" s="1183"/>
      <c r="R25" s="1183"/>
      <c r="S25" s="1183"/>
      <c r="T25" s="1183"/>
      <c r="U25" s="1183"/>
      <c r="V25" s="1183"/>
      <c r="W25" s="1098"/>
      <c r="X25" s="1098"/>
      <c r="Y25" s="1098"/>
      <c r="Z25" s="1098"/>
      <c r="AA25" s="1181"/>
      <c r="AB25" s="1181"/>
      <c r="AC25" s="1181"/>
      <c r="AD25" s="1181"/>
      <c r="AE25" s="1181"/>
      <c r="AF25" s="1181"/>
      <c r="AG25" s="1181"/>
      <c r="AH25" s="1181"/>
      <c r="AI25" s="1181"/>
      <c r="AJ25" s="1181"/>
      <c r="AK25" s="1181"/>
      <c r="AL25" s="1181"/>
      <c r="AM25" s="1181"/>
      <c r="AN25" s="90"/>
      <c r="AO25" s="90"/>
      <c r="AP25" s="1123"/>
      <c r="AQ25" s="1146"/>
      <c r="AR25" s="1146"/>
      <c r="AS25" s="1146"/>
      <c r="AT25" s="1147"/>
    </row>
    <row r="26" spans="1:46" ht="7.5" customHeight="1">
      <c r="A26" s="88"/>
      <c r="B26" s="1115"/>
      <c r="C26" s="1115"/>
      <c r="D26" s="1115"/>
      <c r="E26" s="1115"/>
      <c r="F26" s="1115"/>
      <c r="G26" s="1115"/>
      <c r="H26" s="1183"/>
      <c r="I26" s="1183"/>
      <c r="J26" s="1183"/>
      <c r="K26" s="1183"/>
      <c r="L26" s="1183"/>
      <c r="M26" s="1183"/>
      <c r="N26" s="1183"/>
      <c r="O26" s="1183"/>
      <c r="P26" s="1183"/>
      <c r="Q26" s="1183"/>
      <c r="R26" s="1183"/>
      <c r="S26" s="1183"/>
      <c r="T26" s="1183"/>
      <c r="U26" s="1183"/>
      <c r="V26" s="1183"/>
      <c r="W26" s="1098"/>
      <c r="X26" s="1098"/>
      <c r="Y26" s="1098"/>
      <c r="Z26" s="1098"/>
      <c r="AA26" s="1181"/>
      <c r="AB26" s="1181"/>
      <c r="AC26" s="1181"/>
      <c r="AD26" s="1181"/>
      <c r="AE26" s="1181"/>
      <c r="AF26" s="1181"/>
      <c r="AG26" s="1181"/>
      <c r="AH26" s="1181"/>
      <c r="AI26" s="1181"/>
      <c r="AJ26" s="1181"/>
      <c r="AK26" s="1181"/>
      <c r="AL26" s="1181"/>
      <c r="AM26" s="1181"/>
      <c r="AN26" s="90"/>
      <c r="AO26" s="90"/>
      <c r="AP26" s="1123"/>
      <c r="AQ26" s="1146" t="s">
        <v>152</v>
      </c>
      <c r="AR26" s="1146"/>
      <c r="AS26" s="1146"/>
      <c r="AT26" s="1147"/>
    </row>
    <row r="27" spans="1:46" ht="7.5" customHeight="1">
      <c r="A27" s="88"/>
      <c r="B27" s="1115"/>
      <c r="C27" s="1115"/>
      <c r="D27" s="1115"/>
      <c r="E27" s="1115"/>
      <c r="F27" s="1115"/>
      <c r="G27" s="1115"/>
      <c r="H27" s="1183"/>
      <c r="I27" s="1183"/>
      <c r="J27" s="1183"/>
      <c r="K27" s="1183"/>
      <c r="L27" s="1183"/>
      <c r="M27" s="1183"/>
      <c r="N27" s="1183"/>
      <c r="O27" s="1183"/>
      <c r="P27" s="1183"/>
      <c r="Q27" s="1183"/>
      <c r="R27" s="1183"/>
      <c r="S27" s="1183"/>
      <c r="T27" s="1183"/>
      <c r="U27" s="1183"/>
      <c r="V27" s="1183"/>
      <c r="W27" s="1098"/>
      <c r="X27" s="1098"/>
      <c r="Y27" s="1098"/>
      <c r="Z27" s="1098"/>
      <c r="AA27" s="1182"/>
      <c r="AB27" s="1182"/>
      <c r="AC27" s="1182"/>
      <c r="AD27" s="1182"/>
      <c r="AE27" s="1182"/>
      <c r="AF27" s="1182"/>
      <c r="AG27" s="1182"/>
      <c r="AH27" s="1182"/>
      <c r="AI27" s="1182"/>
      <c r="AJ27" s="1182"/>
      <c r="AK27" s="1182"/>
      <c r="AL27" s="1182"/>
      <c r="AM27" s="1182"/>
      <c r="AN27" s="90"/>
      <c r="AO27" s="90"/>
      <c r="AP27" s="1123"/>
      <c r="AQ27" s="1146"/>
      <c r="AR27" s="1146"/>
      <c r="AS27" s="1146"/>
      <c r="AT27" s="1147"/>
    </row>
    <row r="28" spans="1:46" ht="7.5" customHeight="1">
      <c r="A28" s="88"/>
      <c r="B28" s="1115" t="s">
        <v>253</v>
      </c>
      <c r="C28" s="1115"/>
      <c r="D28" s="1115"/>
      <c r="E28" s="1115"/>
      <c r="F28" s="1115"/>
      <c r="G28" s="1115"/>
      <c r="H28" s="1148" t="str">
        <f>IF('4_Anzeichnungsprotokoll'!J11="","",'4_Anzeichnungsprotokoll'!J11)</f>
        <v/>
      </c>
      <c r="I28" s="1148"/>
      <c r="J28" s="1148"/>
      <c r="K28" s="1148"/>
      <c r="L28" s="1148"/>
      <c r="M28" s="1148"/>
      <c r="N28" s="1148"/>
      <c r="O28" s="1148"/>
      <c r="P28" s="1148"/>
      <c r="Q28" s="1148"/>
      <c r="R28" s="1148"/>
      <c r="S28" s="1148"/>
      <c r="T28" s="1148"/>
      <c r="U28" s="1148"/>
      <c r="V28" s="1148"/>
      <c r="W28" s="1098" t="s">
        <v>153</v>
      </c>
      <c r="X28" s="1098"/>
      <c r="Y28" s="1098"/>
      <c r="Z28" s="1098"/>
      <c r="AA28" s="1143" t="str">
        <f>IF('4_Anzeichnungsprotokoll'!J12="","",'4_Anzeichnungsprotokoll'!J12)</f>
        <v/>
      </c>
      <c r="AB28" s="1144"/>
      <c r="AC28" s="1144"/>
      <c r="AD28" s="1144"/>
      <c r="AE28" s="1144"/>
      <c r="AF28" s="1144"/>
      <c r="AG28" s="1144"/>
      <c r="AH28" s="1144"/>
      <c r="AI28" s="1144"/>
      <c r="AJ28" s="1144"/>
      <c r="AK28" s="1144"/>
      <c r="AL28" s="1144"/>
      <c r="AM28" s="1144"/>
      <c r="AN28" s="90"/>
      <c r="AO28" s="90"/>
      <c r="AP28" s="1123"/>
      <c r="AQ28" s="1146" t="s">
        <v>154</v>
      </c>
      <c r="AR28" s="1146"/>
      <c r="AS28" s="1146"/>
      <c r="AT28" s="1147"/>
    </row>
    <row r="29" spans="1:46" ht="7.5" customHeight="1">
      <c r="A29" s="88"/>
      <c r="B29" s="1115"/>
      <c r="C29" s="1115"/>
      <c r="D29" s="1115"/>
      <c r="E29" s="1115"/>
      <c r="F29" s="1115"/>
      <c r="G29" s="1115"/>
      <c r="H29" s="1148"/>
      <c r="I29" s="1148"/>
      <c r="J29" s="1148"/>
      <c r="K29" s="1148"/>
      <c r="L29" s="1148"/>
      <c r="M29" s="1148"/>
      <c r="N29" s="1148"/>
      <c r="O29" s="1148"/>
      <c r="P29" s="1148"/>
      <c r="Q29" s="1148"/>
      <c r="R29" s="1148"/>
      <c r="S29" s="1148"/>
      <c r="T29" s="1148"/>
      <c r="U29" s="1148"/>
      <c r="V29" s="1148"/>
      <c r="W29" s="1098"/>
      <c r="X29" s="1098"/>
      <c r="Y29" s="1098"/>
      <c r="Z29" s="1098"/>
      <c r="AA29" s="1144"/>
      <c r="AB29" s="1144"/>
      <c r="AC29" s="1144"/>
      <c r="AD29" s="1144"/>
      <c r="AE29" s="1144"/>
      <c r="AF29" s="1144"/>
      <c r="AG29" s="1144"/>
      <c r="AH29" s="1144"/>
      <c r="AI29" s="1144"/>
      <c r="AJ29" s="1144"/>
      <c r="AK29" s="1144"/>
      <c r="AL29" s="1144"/>
      <c r="AM29" s="1144"/>
      <c r="AN29" s="90"/>
      <c r="AO29" s="90"/>
      <c r="AP29" s="1123"/>
      <c r="AQ29" s="1146"/>
      <c r="AR29" s="1146"/>
      <c r="AS29" s="1146"/>
      <c r="AT29" s="1147"/>
    </row>
    <row r="30" spans="1:46" ht="7.5" customHeight="1">
      <c r="A30" s="88"/>
      <c r="B30" s="1115"/>
      <c r="C30" s="1115"/>
      <c r="D30" s="1115"/>
      <c r="E30" s="1115"/>
      <c r="F30" s="1115"/>
      <c r="G30" s="1115"/>
      <c r="H30" s="1148"/>
      <c r="I30" s="1148"/>
      <c r="J30" s="1148"/>
      <c r="K30" s="1148"/>
      <c r="L30" s="1148"/>
      <c r="M30" s="1148"/>
      <c r="N30" s="1148"/>
      <c r="O30" s="1148"/>
      <c r="P30" s="1148"/>
      <c r="Q30" s="1148"/>
      <c r="R30" s="1148"/>
      <c r="S30" s="1148"/>
      <c r="T30" s="1148"/>
      <c r="U30" s="1148"/>
      <c r="V30" s="1148"/>
      <c r="W30" s="1098"/>
      <c r="X30" s="1098"/>
      <c r="Y30" s="1098"/>
      <c r="Z30" s="1098"/>
      <c r="AA30" s="1144"/>
      <c r="AB30" s="1144"/>
      <c r="AC30" s="1144"/>
      <c r="AD30" s="1144"/>
      <c r="AE30" s="1144"/>
      <c r="AF30" s="1144"/>
      <c r="AG30" s="1144"/>
      <c r="AH30" s="1144"/>
      <c r="AI30" s="1144"/>
      <c r="AJ30" s="1144"/>
      <c r="AK30" s="1144"/>
      <c r="AL30" s="1144"/>
      <c r="AM30" s="1144"/>
      <c r="AN30" s="90"/>
      <c r="AO30" s="90"/>
      <c r="AP30" s="1123"/>
      <c r="AQ30" s="1146" t="s">
        <v>155</v>
      </c>
      <c r="AR30" s="1146"/>
      <c r="AS30" s="1146"/>
      <c r="AT30" s="1147"/>
    </row>
    <row r="31" spans="1:46" ht="7.5" customHeight="1">
      <c r="A31" s="88"/>
      <c r="B31" s="1115"/>
      <c r="C31" s="1115"/>
      <c r="D31" s="1115"/>
      <c r="E31" s="1115"/>
      <c r="F31" s="1115"/>
      <c r="G31" s="1115"/>
      <c r="H31" s="1148"/>
      <c r="I31" s="1148"/>
      <c r="J31" s="1148"/>
      <c r="K31" s="1148"/>
      <c r="L31" s="1148"/>
      <c r="M31" s="1148"/>
      <c r="N31" s="1148"/>
      <c r="O31" s="1148"/>
      <c r="P31" s="1148"/>
      <c r="Q31" s="1148"/>
      <c r="R31" s="1148"/>
      <c r="S31" s="1148"/>
      <c r="T31" s="1148"/>
      <c r="U31" s="1148"/>
      <c r="V31" s="1148"/>
      <c r="W31" s="1098"/>
      <c r="X31" s="1098"/>
      <c r="Y31" s="1098"/>
      <c r="Z31" s="1098"/>
      <c r="AA31" s="1145"/>
      <c r="AB31" s="1145"/>
      <c r="AC31" s="1145"/>
      <c r="AD31" s="1145"/>
      <c r="AE31" s="1145"/>
      <c r="AF31" s="1145"/>
      <c r="AG31" s="1145"/>
      <c r="AH31" s="1145"/>
      <c r="AI31" s="1145"/>
      <c r="AJ31" s="1145"/>
      <c r="AK31" s="1145"/>
      <c r="AL31" s="1145"/>
      <c r="AM31" s="1145"/>
      <c r="AN31" s="90"/>
      <c r="AO31" s="90"/>
      <c r="AP31" s="1123"/>
      <c r="AQ31" s="1146"/>
      <c r="AR31" s="1146"/>
      <c r="AS31" s="1146"/>
      <c r="AT31" s="1147"/>
    </row>
    <row r="32" spans="1:46" ht="7.5" customHeight="1">
      <c r="A32" s="88"/>
      <c r="B32" s="1115" t="s">
        <v>156</v>
      </c>
      <c r="C32" s="1115"/>
      <c r="D32" s="1115"/>
      <c r="E32" s="1115"/>
      <c r="F32" s="1115"/>
      <c r="G32" s="1115"/>
      <c r="H32" s="1124"/>
      <c r="I32" s="1124"/>
      <c r="J32" s="1124"/>
      <c r="K32" s="1124"/>
      <c r="L32" s="1124"/>
      <c r="M32" s="1124"/>
      <c r="N32" s="1124"/>
      <c r="O32" s="1124"/>
      <c r="P32" s="1124"/>
      <c r="Q32" s="1124"/>
      <c r="R32" s="1124"/>
      <c r="S32" s="1124"/>
      <c r="T32" s="1124"/>
      <c r="U32" s="1124"/>
      <c r="V32" s="1124"/>
      <c r="W32" s="89"/>
      <c r="X32" s="89"/>
      <c r="Y32" s="89"/>
      <c r="Z32" s="89"/>
      <c r="AA32" s="91"/>
      <c r="AB32" s="91"/>
      <c r="AC32" s="91"/>
      <c r="AD32" s="91"/>
      <c r="AE32" s="91"/>
      <c r="AF32" s="91"/>
      <c r="AG32" s="91"/>
      <c r="AH32" s="91"/>
      <c r="AI32" s="91"/>
      <c r="AJ32" s="91"/>
      <c r="AK32" s="91"/>
      <c r="AL32" s="91"/>
      <c r="AM32" s="90"/>
      <c r="AN32" s="90"/>
      <c r="AO32" s="90"/>
      <c r="AP32" s="90"/>
      <c r="AQ32" s="90"/>
      <c r="AR32" s="90"/>
      <c r="AS32" s="90"/>
      <c r="AT32" s="92"/>
    </row>
    <row r="33" spans="1:59" ht="7.5" customHeight="1">
      <c r="A33" s="88"/>
      <c r="B33" s="1115"/>
      <c r="C33" s="1115"/>
      <c r="D33" s="1115"/>
      <c r="E33" s="1115"/>
      <c r="F33" s="1115"/>
      <c r="G33" s="1115"/>
      <c r="H33" s="1124"/>
      <c r="I33" s="1124"/>
      <c r="J33" s="1124"/>
      <c r="K33" s="1124"/>
      <c r="L33" s="1124"/>
      <c r="M33" s="1124"/>
      <c r="N33" s="1124"/>
      <c r="O33" s="1124"/>
      <c r="P33" s="1124"/>
      <c r="Q33" s="1124"/>
      <c r="R33" s="1124"/>
      <c r="S33" s="1124"/>
      <c r="T33" s="1124"/>
      <c r="U33" s="1124"/>
      <c r="V33" s="1124"/>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2"/>
      <c r="BG33" s="443"/>
    </row>
    <row r="34" spans="1:59" ht="7.5" customHeight="1">
      <c r="A34" s="88"/>
      <c r="B34" s="1115"/>
      <c r="C34" s="1115"/>
      <c r="D34" s="1115"/>
      <c r="E34" s="1115"/>
      <c r="F34" s="1115"/>
      <c r="G34" s="1115"/>
      <c r="H34" s="1124"/>
      <c r="I34" s="1124"/>
      <c r="J34" s="1124"/>
      <c r="K34" s="1124"/>
      <c r="L34" s="1124"/>
      <c r="M34" s="1124"/>
      <c r="N34" s="1124"/>
      <c r="O34" s="1124"/>
      <c r="P34" s="1124"/>
      <c r="Q34" s="1124"/>
      <c r="R34" s="1124"/>
      <c r="S34" s="1124"/>
      <c r="T34" s="1124"/>
      <c r="U34" s="1124"/>
      <c r="V34" s="1124"/>
      <c r="W34" s="1149" t="s">
        <v>157</v>
      </c>
      <c r="X34" s="1149"/>
      <c r="Y34" s="1149"/>
      <c r="Z34" s="1149"/>
      <c r="AA34" s="1149"/>
      <c r="AB34" s="1149"/>
      <c r="AC34" s="1149"/>
      <c r="AD34" s="1149"/>
      <c r="AE34" s="1149"/>
      <c r="AF34" s="1149"/>
      <c r="AG34" s="1149"/>
      <c r="AH34" s="1149"/>
      <c r="AI34" s="1149"/>
      <c r="AJ34" s="1149"/>
      <c r="AK34" s="1149"/>
      <c r="AL34" s="1149"/>
      <c r="AM34" s="1149"/>
      <c r="AN34" s="1149"/>
      <c r="AO34" s="90"/>
      <c r="AP34" s="1123"/>
      <c r="AQ34" s="90"/>
      <c r="AR34" s="90"/>
      <c r="AS34" s="90"/>
      <c r="AT34" s="92"/>
      <c r="BG34" s="443"/>
    </row>
    <row r="35" spans="1:59" ht="7.5" customHeight="1">
      <c r="A35" s="88"/>
      <c r="B35" s="1115"/>
      <c r="C35" s="1115"/>
      <c r="D35" s="1115"/>
      <c r="E35" s="1115"/>
      <c r="F35" s="1115"/>
      <c r="G35" s="1115"/>
      <c r="H35" s="1124"/>
      <c r="I35" s="1124"/>
      <c r="J35" s="1124"/>
      <c r="K35" s="1124"/>
      <c r="L35" s="1124"/>
      <c r="M35" s="1124"/>
      <c r="N35" s="1124"/>
      <c r="O35" s="1124"/>
      <c r="P35" s="1124"/>
      <c r="Q35" s="1124"/>
      <c r="R35" s="1124"/>
      <c r="S35" s="1124"/>
      <c r="T35" s="1124"/>
      <c r="U35" s="1124"/>
      <c r="V35" s="1124"/>
      <c r="W35" s="1149"/>
      <c r="X35" s="1149"/>
      <c r="Y35" s="1149"/>
      <c r="Z35" s="1149"/>
      <c r="AA35" s="1149"/>
      <c r="AB35" s="1149"/>
      <c r="AC35" s="1149"/>
      <c r="AD35" s="1149"/>
      <c r="AE35" s="1149"/>
      <c r="AF35" s="1149"/>
      <c r="AG35" s="1149"/>
      <c r="AH35" s="1149"/>
      <c r="AI35" s="1149"/>
      <c r="AJ35" s="1149"/>
      <c r="AK35" s="1149"/>
      <c r="AL35" s="1149"/>
      <c r="AM35" s="1149"/>
      <c r="AN35" s="1149"/>
      <c r="AO35" s="90"/>
      <c r="AP35" s="1123"/>
      <c r="AQ35" s="90"/>
      <c r="AR35" s="90"/>
      <c r="AS35" s="90"/>
      <c r="AT35" s="92"/>
      <c r="BG35" s="443"/>
    </row>
    <row r="36" spans="1:59" ht="7.5" customHeight="1" thickBot="1">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5"/>
      <c r="BG36" s="443"/>
    </row>
    <row r="37" spans="1:59" ht="4.5" customHeight="1">
      <c r="A37" s="96"/>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8"/>
      <c r="BG37" s="443"/>
    </row>
    <row r="38" spans="1:59" ht="7.5" customHeight="1">
      <c r="A38" s="1030">
        <v>2</v>
      </c>
      <c r="B38" s="1031" t="s">
        <v>158</v>
      </c>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c r="AT38" s="599"/>
      <c r="BG38" s="443"/>
    </row>
    <row r="39" spans="1:59" ht="7.5" customHeight="1">
      <c r="A39" s="1030"/>
      <c r="B39" s="598"/>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9"/>
      <c r="BG39" s="443"/>
    </row>
    <row r="40" spans="1:59" ht="7.5" customHeight="1">
      <c r="A40" s="88"/>
      <c r="B40" s="1115" t="s">
        <v>159</v>
      </c>
      <c r="C40" s="1115"/>
      <c r="D40" s="1115"/>
      <c r="E40" s="1115"/>
      <c r="F40" s="1115"/>
      <c r="G40" s="1115"/>
      <c r="H40" s="1116"/>
      <c r="I40" s="1117" t="s">
        <v>254</v>
      </c>
      <c r="J40" s="1118"/>
      <c r="K40" s="1118"/>
      <c r="L40" s="1134" t="str">
        <f>IF('4_Anzeichnungsprotokoll'!D21="","",'4_Anzeichnungsprotokoll'!D21)</f>
        <v/>
      </c>
      <c r="M40" s="1134"/>
      <c r="N40" s="1134"/>
      <c r="O40" s="1134"/>
      <c r="P40" s="1134"/>
      <c r="Q40" s="1134"/>
      <c r="R40" s="1140" t="s">
        <v>275</v>
      </c>
      <c r="S40" s="1134" t="str">
        <f>IF('4_Anzeichnungsprotokoll'!F21="","",'4_Anzeichnungsprotokoll'!F21)</f>
        <v/>
      </c>
      <c r="T40" s="1134"/>
      <c r="U40" s="1134"/>
      <c r="V40" s="1134"/>
      <c r="W40" s="1134"/>
      <c r="X40" s="1135"/>
      <c r="Z40" s="1098" t="s">
        <v>161</v>
      </c>
      <c r="AA40" s="1098"/>
      <c r="AB40" s="1098"/>
      <c r="AC40" s="1098"/>
      <c r="AD40" s="1098"/>
      <c r="AE40" s="1098"/>
      <c r="AF40" s="1125">
        <v>0</v>
      </c>
      <c r="AG40" s="1126"/>
      <c r="AH40" s="1126"/>
      <c r="AI40" s="1127"/>
      <c r="AJ40" s="265"/>
      <c r="AK40" s="265"/>
      <c r="AL40" s="265"/>
      <c r="AQ40" s="266"/>
      <c r="AR40" s="266"/>
      <c r="AS40" s="266"/>
      <c r="AT40" s="149"/>
      <c r="BG40" s="443"/>
    </row>
    <row r="41" spans="1:59" ht="7.5" customHeight="1">
      <c r="A41" s="88"/>
      <c r="B41" s="1115"/>
      <c r="C41" s="1115"/>
      <c r="D41" s="1115"/>
      <c r="E41" s="1115"/>
      <c r="F41" s="1115"/>
      <c r="G41" s="1115"/>
      <c r="H41" s="1116"/>
      <c r="I41" s="1119"/>
      <c r="J41" s="1120"/>
      <c r="K41" s="1120"/>
      <c r="L41" s="1136"/>
      <c r="M41" s="1136"/>
      <c r="N41" s="1136"/>
      <c r="O41" s="1136"/>
      <c r="P41" s="1136"/>
      <c r="Q41" s="1136"/>
      <c r="R41" s="1141"/>
      <c r="S41" s="1136"/>
      <c r="T41" s="1136"/>
      <c r="U41" s="1136"/>
      <c r="V41" s="1136"/>
      <c r="W41" s="1136"/>
      <c r="X41" s="1137"/>
      <c r="Z41" s="1098"/>
      <c r="AA41" s="1098"/>
      <c r="AB41" s="1098"/>
      <c r="AC41" s="1098"/>
      <c r="AD41" s="1098"/>
      <c r="AE41" s="1098"/>
      <c r="AF41" s="1128"/>
      <c r="AG41" s="1129"/>
      <c r="AH41" s="1129"/>
      <c r="AI41" s="1130"/>
      <c r="AJ41" s="265"/>
      <c r="AK41" s="265"/>
      <c r="AL41" s="265"/>
      <c r="AQ41" s="266"/>
      <c r="AR41" s="266"/>
      <c r="AS41" s="266"/>
      <c r="AT41" s="149"/>
      <c r="BG41" s="443"/>
    </row>
    <row r="42" spans="1:59" ht="7.5" customHeight="1">
      <c r="A42" s="88"/>
      <c r="B42" s="1115"/>
      <c r="C42" s="1115"/>
      <c r="D42" s="1115"/>
      <c r="E42" s="1115"/>
      <c r="F42" s="1115"/>
      <c r="G42" s="1115"/>
      <c r="H42" s="1116"/>
      <c r="I42" s="1121"/>
      <c r="J42" s="1122"/>
      <c r="K42" s="1122"/>
      <c r="L42" s="1138"/>
      <c r="M42" s="1138"/>
      <c r="N42" s="1138"/>
      <c r="O42" s="1138"/>
      <c r="P42" s="1138"/>
      <c r="Q42" s="1138"/>
      <c r="R42" s="1142"/>
      <c r="S42" s="1138"/>
      <c r="T42" s="1138"/>
      <c r="U42" s="1138"/>
      <c r="V42" s="1138"/>
      <c r="W42" s="1138"/>
      <c r="X42" s="1139"/>
      <c r="Z42" s="1098"/>
      <c r="AA42" s="1098"/>
      <c r="AB42" s="1098"/>
      <c r="AC42" s="1098"/>
      <c r="AD42" s="1098"/>
      <c r="AE42" s="1098"/>
      <c r="AF42" s="1131"/>
      <c r="AG42" s="1132"/>
      <c r="AH42" s="1132"/>
      <c r="AI42" s="1133"/>
      <c r="AJ42" s="265"/>
      <c r="AK42" s="265"/>
      <c r="AL42" s="265"/>
      <c r="AQ42" s="266"/>
      <c r="AR42" s="266"/>
      <c r="AS42" s="266"/>
      <c r="AT42" s="149"/>
      <c r="BG42" s="443"/>
    </row>
    <row r="43" spans="1:59" ht="7.5" customHeight="1" thickBot="1">
      <c r="A43" s="93"/>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5"/>
      <c r="BG43" s="443"/>
    </row>
    <row r="44" spans="1:59" ht="7.5" customHeight="1">
      <c r="A44" s="96"/>
      <c r="B44" s="97"/>
      <c r="C44" s="97"/>
      <c r="D44" s="97"/>
      <c r="E44" s="97"/>
      <c r="F44" s="97"/>
      <c r="G44" s="97"/>
      <c r="H44" s="97"/>
      <c r="I44" s="97"/>
      <c r="J44" s="97"/>
      <c r="K44" s="97"/>
      <c r="L44" s="97"/>
      <c r="M44" s="97"/>
      <c r="N44" s="97"/>
      <c r="O44" s="97"/>
      <c r="P44" s="97"/>
      <c r="Q44" s="97"/>
      <c r="R44" s="97"/>
      <c r="S44" s="97"/>
      <c r="T44" s="97"/>
      <c r="U44" s="97"/>
      <c r="V44" s="97"/>
      <c r="W44" s="97"/>
      <c r="X44" s="1100" t="s">
        <v>138</v>
      </c>
      <c r="Y44" s="1101"/>
      <c r="Z44" s="1102"/>
      <c r="AA44" s="1103" t="s">
        <v>162</v>
      </c>
      <c r="AB44" s="1104"/>
      <c r="AC44" s="1104"/>
      <c r="AD44" s="1105"/>
      <c r="AE44" s="1079" t="s">
        <v>163</v>
      </c>
      <c r="AF44" s="1109"/>
      <c r="AG44" s="1109"/>
      <c r="AH44" s="1109"/>
      <c r="AI44" s="1109"/>
      <c r="AJ44" s="1109"/>
      <c r="AK44" s="1109"/>
      <c r="AL44" s="1110"/>
      <c r="AM44" s="1078" t="s">
        <v>133</v>
      </c>
      <c r="AN44" s="1079"/>
      <c r="AO44" s="1079"/>
      <c r="AP44" s="1079"/>
      <c r="AQ44" s="1079"/>
      <c r="AR44" s="1079"/>
      <c r="AS44" s="1079"/>
      <c r="AT44" s="1080"/>
      <c r="BG44" s="443"/>
    </row>
    <row r="45" spans="1:59" ht="7.5" customHeight="1">
      <c r="A45" s="1030">
        <v>3</v>
      </c>
      <c r="B45" s="1031" t="s">
        <v>164</v>
      </c>
      <c r="C45" s="1031"/>
      <c r="D45" s="1031"/>
      <c r="E45" s="1031"/>
      <c r="F45" s="1031"/>
      <c r="G45" s="1031"/>
      <c r="H45" s="1031"/>
      <c r="I45" s="1031"/>
      <c r="J45" s="1031"/>
      <c r="K45" s="1031"/>
      <c r="L45" s="1031"/>
      <c r="M45" s="1031"/>
      <c r="N45" s="1031"/>
      <c r="O45" s="1031"/>
      <c r="P45" s="1031"/>
      <c r="Q45" s="1031"/>
      <c r="R45" s="1113" t="s">
        <v>969</v>
      </c>
      <c r="S45" s="1113"/>
      <c r="T45" s="1113" t="s">
        <v>566</v>
      </c>
      <c r="U45" s="1113"/>
      <c r="V45" s="1113" t="s">
        <v>565</v>
      </c>
      <c r="W45" s="1114"/>
      <c r="X45" s="1097"/>
      <c r="Y45" s="1098"/>
      <c r="Z45" s="1099"/>
      <c r="AA45" s="1106"/>
      <c r="AB45" s="1107"/>
      <c r="AC45" s="1107"/>
      <c r="AD45" s="1108"/>
      <c r="AE45" s="1111"/>
      <c r="AF45" s="1111"/>
      <c r="AG45" s="1111"/>
      <c r="AH45" s="1111"/>
      <c r="AI45" s="1111"/>
      <c r="AJ45" s="1111"/>
      <c r="AK45" s="1111"/>
      <c r="AL45" s="1112"/>
      <c r="AM45" s="1081"/>
      <c r="AN45" s="1082"/>
      <c r="AO45" s="1082"/>
      <c r="AP45" s="1082"/>
      <c r="AQ45" s="1082"/>
      <c r="AR45" s="1082"/>
      <c r="AS45" s="1082"/>
      <c r="AT45" s="1083"/>
      <c r="BG45" s="443"/>
    </row>
    <row r="46" spans="1:59" ht="7.5" customHeight="1">
      <c r="A46" s="1030"/>
      <c r="B46" s="1031"/>
      <c r="C46" s="1031"/>
      <c r="D46" s="1031"/>
      <c r="E46" s="1031"/>
      <c r="F46" s="1031"/>
      <c r="G46" s="1031"/>
      <c r="H46" s="1031"/>
      <c r="I46" s="1031"/>
      <c r="J46" s="1031"/>
      <c r="K46" s="1031"/>
      <c r="L46" s="1031"/>
      <c r="M46" s="1031"/>
      <c r="N46" s="1031"/>
      <c r="O46" s="1031"/>
      <c r="P46" s="1031"/>
      <c r="Q46" s="1031"/>
      <c r="R46" s="1113"/>
      <c r="S46" s="1113"/>
      <c r="T46" s="1113"/>
      <c r="U46" s="1113"/>
      <c r="V46" s="1113"/>
      <c r="W46" s="1114"/>
      <c r="X46" s="1097"/>
      <c r="Y46" s="1098"/>
      <c r="Z46" s="1099"/>
      <c r="AA46" s="1106"/>
      <c r="AB46" s="1107"/>
      <c r="AC46" s="1107"/>
      <c r="AD46" s="1108"/>
      <c r="AE46" s="1094" t="s">
        <v>23</v>
      </c>
      <c r="AF46" s="1095"/>
      <c r="AG46" s="1095"/>
      <c r="AH46" s="1096"/>
      <c r="AI46" s="1084" t="s">
        <v>926</v>
      </c>
      <c r="AJ46" s="1085"/>
      <c r="AK46" s="1085"/>
      <c r="AL46" s="1085"/>
      <c r="AM46" s="1088" t="s">
        <v>23</v>
      </c>
      <c r="AN46" s="1089"/>
      <c r="AO46" s="1089"/>
      <c r="AP46" s="1089"/>
      <c r="AQ46" s="1084" t="s">
        <v>926</v>
      </c>
      <c r="AR46" s="1085"/>
      <c r="AS46" s="1085"/>
      <c r="AT46" s="1092"/>
      <c r="BG46" s="443"/>
    </row>
    <row r="47" spans="1:59" ht="3.75" customHeight="1">
      <c r="A47" s="267"/>
      <c r="B47" s="1036" t="s">
        <v>949</v>
      </c>
      <c r="C47" s="1036"/>
      <c r="D47" s="1036"/>
      <c r="E47" s="1036"/>
      <c r="F47" s="1036"/>
      <c r="G47" s="1036"/>
      <c r="H47" s="1036"/>
      <c r="I47" s="1036"/>
      <c r="J47" s="1036"/>
      <c r="K47" s="1036"/>
      <c r="L47" s="1036"/>
      <c r="M47" s="1036"/>
      <c r="N47" s="1036"/>
      <c r="O47" s="1036"/>
      <c r="P47" s="1036"/>
      <c r="Q47" s="1036"/>
      <c r="R47" s="1113"/>
      <c r="S47" s="1113"/>
      <c r="T47" s="1113"/>
      <c r="U47" s="1113"/>
      <c r="V47" s="1113"/>
      <c r="W47" s="1114"/>
      <c r="X47" s="1097"/>
      <c r="Y47" s="1098"/>
      <c r="Z47" s="1099"/>
      <c r="AA47" s="1106"/>
      <c r="AB47" s="1107"/>
      <c r="AC47" s="1107"/>
      <c r="AD47" s="1108"/>
      <c r="AE47" s="1097"/>
      <c r="AF47" s="1098"/>
      <c r="AG47" s="1098"/>
      <c r="AH47" s="1099"/>
      <c r="AI47" s="1086"/>
      <c r="AJ47" s="1087"/>
      <c r="AK47" s="1087"/>
      <c r="AL47" s="1087"/>
      <c r="AM47" s="1088"/>
      <c r="AN47" s="1089"/>
      <c r="AO47" s="1089"/>
      <c r="AP47" s="1089"/>
      <c r="AQ47" s="1086"/>
      <c r="AR47" s="1087"/>
      <c r="AS47" s="1087"/>
      <c r="AT47" s="1093"/>
      <c r="BG47" s="443"/>
    </row>
    <row r="48" spans="1:59" ht="8.25" customHeight="1" thickBot="1">
      <c r="A48" s="267"/>
      <c r="B48" s="1036"/>
      <c r="C48" s="1036"/>
      <c r="D48" s="1036"/>
      <c r="E48" s="1036"/>
      <c r="F48" s="1036"/>
      <c r="G48" s="1036"/>
      <c r="H48" s="1036"/>
      <c r="I48" s="1036"/>
      <c r="J48" s="1036"/>
      <c r="K48" s="1036"/>
      <c r="L48" s="1036"/>
      <c r="M48" s="1036"/>
      <c r="N48" s="1036"/>
      <c r="O48" s="1036"/>
      <c r="P48" s="1036"/>
      <c r="Q48" s="1036"/>
      <c r="R48" s="1113"/>
      <c r="S48" s="1113"/>
      <c r="T48" s="1113"/>
      <c r="U48" s="1113"/>
      <c r="V48" s="1113"/>
      <c r="W48" s="1114"/>
      <c r="X48" s="1097"/>
      <c r="Y48" s="1098"/>
      <c r="Z48" s="1099"/>
      <c r="AA48" s="1106"/>
      <c r="AB48" s="1107"/>
      <c r="AC48" s="1107"/>
      <c r="AD48" s="1108"/>
      <c r="AE48" s="1097"/>
      <c r="AF48" s="1098"/>
      <c r="AG48" s="1098"/>
      <c r="AH48" s="1099"/>
      <c r="AI48" s="1086"/>
      <c r="AJ48" s="1087"/>
      <c r="AK48" s="1087"/>
      <c r="AL48" s="1087"/>
      <c r="AM48" s="1090"/>
      <c r="AN48" s="1091"/>
      <c r="AO48" s="1091"/>
      <c r="AP48" s="1091"/>
      <c r="AQ48" s="1086"/>
      <c r="AR48" s="1087"/>
      <c r="AS48" s="1087"/>
      <c r="AT48" s="1093"/>
      <c r="BG48" s="443"/>
    </row>
    <row r="49" spans="1:46" ht="15" customHeight="1">
      <c r="A49" s="948" t="s">
        <v>908</v>
      </c>
      <c r="B49" s="955">
        <v>40</v>
      </c>
      <c r="C49" s="955"/>
      <c r="D49" s="955"/>
      <c r="E49" s="955"/>
      <c r="F49" s="955"/>
      <c r="G49" s="955"/>
      <c r="H49" s="955"/>
      <c r="I49" s="955"/>
      <c r="J49" s="955"/>
      <c r="K49" s="955"/>
      <c r="L49" s="955"/>
      <c r="M49" s="955"/>
      <c r="N49" s="955"/>
      <c r="O49" s="955">
        <v>2</v>
      </c>
      <c r="P49" s="955"/>
      <c r="Q49" s="955"/>
      <c r="R49" s="958">
        <v>1</v>
      </c>
      <c r="S49" s="958"/>
      <c r="T49" s="959">
        <v>1</v>
      </c>
      <c r="U49" s="959"/>
      <c r="V49" s="959">
        <v>1</v>
      </c>
      <c r="W49" s="959"/>
      <c r="X49" s="934" t="s">
        <v>24</v>
      </c>
      <c r="Y49" s="934"/>
      <c r="Z49" s="934"/>
      <c r="AA49" s="944" t="str">
        <f>IF(B49=40,"",'Pauschalansätze etc.'!AN17+'Pauschalansätze etc.'!AR17+'Pauschalansätze etc.'!AV17+'Pauschalansätze etc.'!AY17+'Pauschalansätze etc.'!BB17)</f>
        <v/>
      </c>
      <c r="AB49" s="944"/>
      <c r="AC49" s="944"/>
      <c r="AD49" s="944"/>
      <c r="AE49" s="930"/>
      <c r="AF49" s="930"/>
      <c r="AG49" s="930"/>
      <c r="AH49" s="930"/>
      <c r="AI49" s="931" t="str">
        <f>IF(AE49=0,"",AE49*AA49)</f>
        <v/>
      </c>
      <c r="AJ49" s="931"/>
      <c r="AK49" s="931"/>
      <c r="AL49" s="932"/>
      <c r="AM49" s="933"/>
      <c r="AN49" s="934"/>
      <c r="AO49" s="934"/>
      <c r="AP49" s="934"/>
      <c r="AQ49" s="946"/>
      <c r="AR49" s="946"/>
      <c r="AS49" s="946"/>
      <c r="AT49" s="947"/>
    </row>
    <row r="50" spans="1:46" ht="15" customHeight="1">
      <c r="A50" s="949"/>
      <c r="B50" s="953">
        <v>40</v>
      </c>
      <c r="C50" s="953"/>
      <c r="D50" s="953"/>
      <c r="E50" s="953"/>
      <c r="F50" s="953"/>
      <c r="G50" s="953"/>
      <c r="H50" s="953"/>
      <c r="I50" s="953"/>
      <c r="J50" s="953"/>
      <c r="K50" s="953"/>
      <c r="L50" s="953"/>
      <c r="M50" s="953"/>
      <c r="N50" s="953"/>
      <c r="O50" s="953">
        <v>2</v>
      </c>
      <c r="P50" s="953"/>
      <c r="Q50" s="953"/>
      <c r="R50" s="960">
        <v>1</v>
      </c>
      <c r="S50" s="960"/>
      <c r="T50" s="961">
        <v>1</v>
      </c>
      <c r="U50" s="961"/>
      <c r="V50" s="961">
        <v>1</v>
      </c>
      <c r="W50" s="961"/>
      <c r="X50" s="923" t="s">
        <v>24</v>
      </c>
      <c r="Y50" s="923"/>
      <c r="Z50" s="923"/>
      <c r="AA50" s="945" t="str">
        <f>IF(B50=40,"",'Pauschalansätze etc.'!AN18+'Pauschalansätze etc.'!AR18+'Pauschalansätze etc.'!AV18+'Pauschalansätze etc.'!AY18+'Pauschalansätze etc.'!BB18)</f>
        <v/>
      </c>
      <c r="AB50" s="945"/>
      <c r="AC50" s="945"/>
      <c r="AD50" s="945"/>
      <c r="AE50" s="926"/>
      <c r="AF50" s="926"/>
      <c r="AG50" s="926"/>
      <c r="AH50" s="926"/>
      <c r="AI50" s="914" t="str">
        <f t="shared" ref="AI50:AI59" si="0">IF(AE50=0,"",AE50*AA50)</f>
        <v/>
      </c>
      <c r="AJ50" s="914"/>
      <c r="AK50" s="914"/>
      <c r="AL50" s="915"/>
      <c r="AM50" s="922"/>
      <c r="AN50" s="923"/>
      <c r="AO50" s="923"/>
      <c r="AP50" s="923"/>
      <c r="AQ50" s="924"/>
      <c r="AR50" s="924"/>
      <c r="AS50" s="924"/>
      <c r="AT50" s="925"/>
    </row>
    <row r="51" spans="1:46" ht="15" customHeight="1">
      <c r="A51" s="949"/>
      <c r="B51" s="953">
        <v>40</v>
      </c>
      <c r="C51" s="953"/>
      <c r="D51" s="953"/>
      <c r="E51" s="953"/>
      <c r="F51" s="953"/>
      <c r="G51" s="953"/>
      <c r="H51" s="953"/>
      <c r="I51" s="953"/>
      <c r="J51" s="953"/>
      <c r="K51" s="953"/>
      <c r="L51" s="953"/>
      <c r="M51" s="953"/>
      <c r="N51" s="953"/>
      <c r="O51" s="953">
        <v>2</v>
      </c>
      <c r="P51" s="953"/>
      <c r="Q51" s="953"/>
      <c r="R51" s="960">
        <v>1</v>
      </c>
      <c r="S51" s="960"/>
      <c r="T51" s="961">
        <v>1</v>
      </c>
      <c r="U51" s="961"/>
      <c r="V51" s="961">
        <v>1</v>
      </c>
      <c r="W51" s="961"/>
      <c r="X51" s="923" t="s">
        <v>24</v>
      </c>
      <c r="Y51" s="923"/>
      <c r="Z51" s="923"/>
      <c r="AA51" s="945" t="str">
        <f>IF(B51=40,"",'Pauschalansätze etc.'!AN19+'Pauschalansätze etc.'!AR19+'Pauschalansätze etc.'!AV19+'Pauschalansätze etc.'!AY19+'Pauschalansätze etc.'!BB19)</f>
        <v/>
      </c>
      <c r="AB51" s="945"/>
      <c r="AC51" s="945"/>
      <c r="AD51" s="945"/>
      <c r="AE51" s="926"/>
      <c r="AF51" s="926"/>
      <c r="AG51" s="926"/>
      <c r="AH51" s="926"/>
      <c r="AI51" s="914" t="str">
        <f t="shared" si="0"/>
        <v/>
      </c>
      <c r="AJ51" s="914"/>
      <c r="AK51" s="914"/>
      <c r="AL51" s="915"/>
      <c r="AM51" s="922"/>
      <c r="AN51" s="923"/>
      <c r="AO51" s="923"/>
      <c r="AP51" s="923"/>
      <c r="AQ51" s="924"/>
      <c r="AR51" s="924"/>
      <c r="AS51" s="924"/>
      <c r="AT51" s="925"/>
    </row>
    <row r="52" spans="1:46" ht="15" customHeight="1">
      <c r="A52" s="949"/>
      <c r="B52" s="953">
        <v>40</v>
      </c>
      <c r="C52" s="953"/>
      <c r="D52" s="953"/>
      <c r="E52" s="953"/>
      <c r="F52" s="953"/>
      <c r="G52" s="953"/>
      <c r="H52" s="953"/>
      <c r="I52" s="953"/>
      <c r="J52" s="953"/>
      <c r="K52" s="953"/>
      <c r="L52" s="953"/>
      <c r="M52" s="953"/>
      <c r="N52" s="953"/>
      <c r="O52" s="953">
        <v>1</v>
      </c>
      <c r="P52" s="953"/>
      <c r="Q52" s="953"/>
      <c r="R52" s="960">
        <v>1</v>
      </c>
      <c r="S52" s="960"/>
      <c r="T52" s="960">
        <v>1</v>
      </c>
      <c r="U52" s="960"/>
      <c r="V52" s="960">
        <v>1</v>
      </c>
      <c r="W52" s="960"/>
      <c r="X52" s="923" t="s">
        <v>24</v>
      </c>
      <c r="Y52" s="923"/>
      <c r="Z52" s="923"/>
      <c r="AA52" s="945" t="str">
        <f>IF(B52=40,"",'Pauschalansätze etc.'!AN20+'Pauschalansätze etc.'!AR20+'Pauschalansätze etc.'!AV20+'Pauschalansätze etc.'!AY20+'Pauschalansätze etc.'!BB20)</f>
        <v/>
      </c>
      <c r="AB52" s="945"/>
      <c r="AC52" s="945"/>
      <c r="AD52" s="945"/>
      <c r="AE52" s="926"/>
      <c r="AF52" s="926"/>
      <c r="AG52" s="926"/>
      <c r="AH52" s="926"/>
      <c r="AI52" s="914" t="str">
        <f t="shared" si="0"/>
        <v/>
      </c>
      <c r="AJ52" s="914"/>
      <c r="AK52" s="914"/>
      <c r="AL52" s="915"/>
      <c r="AM52" s="922"/>
      <c r="AN52" s="923"/>
      <c r="AO52" s="923"/>
      <c r="AP52" s="923"/>
      <c r="AQ52" s="924"/>
      <c r="AR52" s="924"/>
      <c r="AS52" s="924"/>
      <c r="AT52" s="925"/>
    </row>
    <row r="53" spans="1:46" ht="15" customHeight="1">
      <c r="A53" s="949"/>
      <c r="B53" s="951" t="s">
        <v>372</v>
      </c>
      <c r="C53" s="951"/>
      <c r="D53" s="951"/>
      <c r="E53" s="951"/>
      <c r="F53" s="951"/>
      <c r="G53" s="951"/>
      <c r="H53" s="951"/>
      <c r="I53" s="951" t="s">
        <v>910</v>
      </c>
      <c r="J53" s="951"/>
      <c r="K53" s="951"/>
      <c r="L53" s="951"/>
      <c r="M53" s="951"/>
      <c r="N53" s="951"/>
      <c r="O53" s="951"/>
      <c r="P53" s="951"/>
      <c r="Q53" s="951"/>
      <c r="R53" s="951"/>
      <c r="S53" s="951"/>
      <c r="T53" s="951"/>
      <c r="U53" s="951"/>
      <c r="V53" s="951"/>
      <c r="W53" s="951"/>
      <c r="X53" s="923" t="s">
        <v>128</v>
      </c>
      <c r="Y53" s="923"/>
      <c r="Z53" s="923"/>
      <c r="AA53" s="945">
        <v>12</v>
      </c>
      <c r="AB53" s="945"/>
      <c r="AC53" s="945"/>
      <c r="AD53" s="945"/>
      <c r="AE53" s="926"/>
      <c r="AF53" s="926"/>
      <c r="AG53" s="926"/>
      <c r="AH53" s="926"/>
      <c r="AI53" s="914" t="str">
        <f t="shared" si="0"/>
        <v/>
      </c>
      <c r="AJ53" s="914"/>
      <c r="AK53" s="914"/>
      <c r="AL53" s="915"/>
      <c r="AM53" s="922"/>
      <c r="AN53" s="923"/>
      <c r="AO53" s="923"/>
      <c r="AP53" s="923"/>
      <c r="AQ53" s="924"/>
      <c r="AR53" s="924"/>
      <c r="AS53" s="924"/>
      <c r="AT53" s="925"/>
    </row>
    <row r="54" spans="1:46" ht="15" customHeight="1">
      <c r="A54" s="949"/>
      <c r="B54" s="951" t="s">
        <v>372</v>
      </c>
      <c r="C54" s="951"/>
      <c r="D54" s="951"/>
      <c r="E54" s="951"/>
      <c r="F54" s="951"/>
      <c r="G54" s="951"/>
      <c r="H54" s="951"/>
      <c r="I54" s="951" t="s">
        <v>911</v>
      </c>
      <c r="J54" s="951"/>
      <c r="K54" s="951"/>
      <c r="L54" s="951"/>
      <c r="M54" s="951"/>
      <c r="N54" s="951"/>
      <c r="O54" s="951"/>
      <c r="P54" s="951"/>
      <c r="Q54" s="951"/>
      <c r="R54" s="951"/>
      <c r="S54" s="951"/>
      <c r="T54" s="951"/>
      <c r="U54" s="951"/>
      <c r="V54" s="951"/>
      <c r="W54" s="951"/>
      <c r="X54" s="923" t="s">
        <v>128</v>
      </c>
      <c r="Y54" s="923"/>
      <c r="Z54" s="923"/>
      <c r="AA54" s="945">
        <v>3</v>
      </c>
      <c r="AB54" s="945"/>
      <c r="AC54" s="945"/>
      <c r="AD54" s="945"/>
      <c r="AE54" s="926"/>
      <c r="AF54" s="926"/>
      <c r="AG54" s="926"/>
      <c r="AH54" s="926"/>
      <c r="AI54" s="914" t="str">
        <f t="shared" si="0"/>
        <v/>
      </c>
      <c r="AJ54" s="914"/>
      <c r="AK54" s="914"/>
      <c r="AL54" s="915"/>
      <c r="AM54" s="922"/>
      <c r="AN54" s="923"/>
      <c r="AO54" s="923"/>
      <c r="AP54" s="923"/>
      <c r="AQ54" s="924"/>
      <c r="AR54" s="924"/>
      <c r="AS54" s="924"/>
      <c r="AT54" s="925"/>
    </row>
    <row r="55" spans="1:46" ht="15" customHeight="1" thickBot="1">
      <c r="A55" s="950"/>
      <c r="B55" s="952" t="s">
        <v>909</v>
      </c>
      <c r="C55" s="952"/>
      <c r="D55" s="952"/>
      <c r="E55" s="952"/>
      <c r="F55" s="952"/>
      <c r="G55" s="952"/>
      <c r="H55" s="952"/>
      <c r="I55" s="952"/>
      <c r="J55" s="952"/>
      <c r="K55" s="952"/>
      <c r="L55" s="952"/>
      <c r="M55" s="952"/>
      <c r="N55" s="952"/>
      <c r="O55" s="952"/>
      <c r="P55" s="952"/>
      <c r="Q55" s="952"/>
      <c r="R55" s="952"/>
      <c r="S55" s="952"/>
      <c r="T55" s="952"/>
      <c r="U55" s="952"/>
      <c r="V55" s="952"/>
      <c r="W55" s="952"/>
      <c r="X55" s="913" t="s">
        <v>130</v>
      </c>
      <c r="Y55" s="913"/>
      <c r="Z55" s="913"/>
      <c r="AA55" s="938">
        <v>235</v>
      </c>
      <c r="AB55" s="938"/>
      <c r="AC55" s="938"/>
      <c r="AD55" s="938"/>
      <c r="AE55" s="940"/>
      <c r="AF55" s="940"/>
      <c r="AG55" s="940"/>
      <c r="AH55" s="940"/>
      <c r="AI55" s="941" t="str">
        <f t="shared" si="0"/>
        <v/>
      </c>
      <c r="AJ55" s="941"/>
      <c r="AK55" s="941"/>
      <c r="AL55" s="942"/>
      <c r="AM55" s="912"/>
      <c r="AN55" s="913"/>
      <c r="AO55" s="913"/>
      <c r="AP55" s="913"/>
      <c r="AQ55" s="935"/>
      <c r="AR55" s="935"/>
      <c r="AS55" s="935"/>
      <c r="AT55" s="936"/>
    </row>
    <row r="56" spans="1:46" ht="15" customHeight="1">
      <c r="A56" s="948" t="s">
        <v>912</v>
      </c>
      <c r="B56" s="955">
        <v>13</v>
      </c>
      <c r="C56" s="955"/>
      <c r="D56" s="955"/>
      <c r="E56" s="955"/>
      <c r="F56" s="955"/>
      <c r="G56" s="955"/>
      <c r="H56" s="955"/>
      <c r="I56" s="955"/>
      <c r="J56" s="955"/>
      <c r="K56" s="955"/>
      <c r="L56" s="955"/>
      <c r="M56" s="955"/>
      <c r="N56" s="955"/>
      <c r="O56" s="955"/>
      <c r="P56" s="955"/>
      <c r="Q56" s="955"/>
      <c r="R56" s="955"/>
      <c r="S56" s="955"/>
      <c r="T56" s="955"/>
      <c r="U56" s="955"/>
      <c r="V56" s="955"/>
      <c r="W56" s="956"/>
      <c r="X56" s="937" t="s">
        <v>24</v>
      </c>
      <c r="Y56" s="934"/>
      <c r="Z56" s="934"/>
      <c r="AA56" s="939" t="str">
        <f>IF($B56=13,"",INDEX('Pauschalansätze etc.'!$AE$3:$AE$14,$B56,1))</f>
        <v/>
      </c>
      <c r="AB56" s="939"/>
      <c r="AC56" s="939"/>
      <c r="AD56" s="939"/>
      <c r="AE56" s="943"/>
      <c r="AF56" s="943"/>
      <c r="AG56" s="943"/>
      <c r="AH56" s="943"/>
      <c r="AI56" s="931" t="str">
        <f t="shared" si="0"/>
        <v/>
      </c>
      <c r="AJ56" s="931"/>
      <c r="AK56" s="931"/>
      <c r="AL56" s="932"/>
      <c r="AM56" s="916"/>
      <c r="AN56" s="917"/>
      <c r="AO56" s="917"/>
      <c r="AP56" s="917"/>
      <c r="AQ56" s="928"/>
      <c r="AR56" s="928"/>
      <c r="AS56" s="928"/>
      <c r="AT56" s="929"/>
    </row>
    <row r="57" spans="1:46" ht="15" customHeight="1">
      <c r="A57" s="949"/>
      <c r="B57" s="953">
        <v>13</v>
      </c>
      <c r="C57" s="953"/>
      <c r="D57" s="953"/>
      <c r="E57" s="953"/>
      <c r="F57" s="953"/>
      <c r="G57" s="953"/>
      <c r="H57" s="953"/>
      <c r="I57" s="953"/>
      <c r="J57" s="953"/>
      <c r="K57" s="953"/>
      <c r="L57" s="953"/>
      <c r="M57" s="953"/>
      <c r="N57" s="953"/>
      <c r="O57" s="953"/>
      <c r="P57" s="953"/>
      <c r="Q57" s="953"/>
      <c r="R57" s="953"/>
      <c r="S57" s="953"/>
      <c r="T57" s="953"/>
      <c r="U57" s="953"/>
      <c r="V57" s="953"/>
      <c r="W57" s="957"/>
      <c r="X57" s="1187" t="s">
        <v>24</v>
      </c>
      <c r="Y57" s="923"/>
      <c r="Z57" s="923"/>
      <c r="AA57" s="1193" t="str">
        <f>IF($B57=13,"",INDEX('Pauschalansätze etc.'!$AE$3:$AE$14,$B57,1))</f>
        <v/>
      </c>
      <c r="AB57" s="1193"/>
      <c r="AC57" s="1193"/>
      <c r="AD57" s="1193"/>
      <c r="AE57" s="927"/>
      <c r="AF57" s="927"/>
      <c r="AG57" s="927"/>
      <c r="AH57" s="927"/>
      <c r="AI57" s="914" t="str">
        <f t="shared" si="0"/>
        <v/>
      </c>
      <c r="AJ57" s="914"/>
      <c r="AK57" s="914"/>
      <c r="AL57" s="915"/>
      <c r="AM57" s="922"/>
      <c r="AN57" s="923"/>
      <c r="AO57" s="923"/>
      <c r="AP57" s="923"/>
      <c r="AQ57" s="924"/>
      <c r="AR57" s="924"/>
      <c r="AS57" s="924"/>
      <c r="AT57" s="925"/>
    </row>
    <row r="58" spans="1:46" ht="15" customHeight="1">
      <c r="A58" s="949"/>
      <c r="B58" s="953">
        <v>13</v>
      </c>
      <c r="C58" s="953"/>
      <c r="D58" s="953"/>
      <c r="E58" s="953"/>
      <c r="F58" s="953"/>
      <c r="G58" s="953"/>
      <c r="H58" s="953"/>
      <c r="I58" s="953"/>
      <c r="J58" s="953"/>
      <c r="K58" s="953"/>
      <c r="L58" s="953"/>
      <c r="M58" s="953"/>
      <c r="N58" s="953"/>
      <c r="O58" s="953"/>
      <c r="P58" s="953"/>
      <c r="Q58" s="953"/>
      <c r="R58" s="953"/>
      <c r="S58" s="953"/>
      <c r="T58" s="953"/>
      <c r="U58" s="953"/>
      <c r="V58" s="953"/>
      <c r="W58" s="957"/>
      <c r="X58" s="1187" t="s">
        <v>24</v>
      </c>
      <c r="Y58" s="923"/>
      <c r="Z58" s="923"/>
      <c r="AA58" s="1193" t="str">
        <f>IF($B58=13,"",INDEX('Pauschalansätze etc.'!$AE$3:$AE$14,$B58,1))</f>
        <v/>
      </c>
      <c r="AB58" s="1193"/>
      <c r="AC58" s="1193"/>
      <c r="AD58" s="1193"/>
      <c r="AE58" s="927"/>
      <c r="AF58" s="927"/>
      <c r="AG58" s="927"/>
      <c r="AH58" s="927"/>
      <c r="AI58" s="914" t="str">
        <f t="shared" si="0"/>
        <v/>
      </c>
      <c r="AJ58" s="914"/>
      <c r="AK58" s="914"/>
      <c r="AL58" s="915"/>
      <c r="AM58" s="922"/>
      <c r="AN58" s="923"/>
      <c r="AO58" s="923"/>
      <c r="AP58" s="923"/>
      <c r="AQ58" s="924"/>
      <c r="AR58" s="924"/>
      <c r="AS58" s="924"/>
      <c r="AT58" s="925"/>
    </row>
    <row r="59" spans="1:46" ht="15" customHeight="1" thickBot="1">
      <c r="A59" s="950"/>
      <c r="B59" s="952" t="s">
        <v>927</v>
      </c>
      <c r="C59" s="952"/>
      <c r="D59" s="952"/>
      <c r="E59" s="952"/>
      <c r="F59" s="952"/>
      <c r="G59" s="952"/>
      <c r="H59" s="952"/>
      <c r="I59" s="952"/>
      <c r="J59" s="952"/>
      <c r="K59" s="952"/>
      <c r="L59" s="952"/>
      <c r="M59" s="952"/>
      <c r="N59" s="952"/>
      <c r="O59" s="952"/>
      <c r="P59" s="952"/>
      <c r="Q59" s="952"/>
      <c r="R59" s="952"/>
      <c r="S59" s="952"/>
      <c r="T59" s="952"/>
      <c r="U59" s="952"/>
      <c r="V59" s="952"/>
      <c r="W59" s="954"/>
      <c r="X59" s="970" t="s">
        <v>130</v>
      </c>
      <c r="Y59" s="919"/>
      <c r="Z59" s="919"/>
      <c r="AA59" s="938" t="str">
        <f>IF('5_Pauschalansätze_HR_E'!G53=0,"",'5_Pauschalansätze_HR_E'!G53)</f>
        <v/>
      </c>
      <c r="AB59" s="938"/>
      <c r="AC59" s="938"/>
      <c r="AD59" s="938"/>
      <c r="AE59" s="1194"/>
      <c r="AF59" s="1194"/>
      <c r="AG59" s="1194"/>
      <c r="AH59" s="1194"/>
      <c r="AI59" s="941" t="str">
        <f t="shared" si="0"/>
        <v/>
      </c>
      <c r="AJ59" s="941"/>
      <c r="AK59" s="941"/>
      <c r="AL59" s="942"/>
      <c r="AM59" s="918"/>
      <c r="AN59" s="919"/>
      <c r="AO59" s="919"/>
      <c r="AP59" s="919"/>
      <c r="AQ59" s="920"/>
      <c r="AR59" s="920"/>
      <c r="AS59" s="920"/>
      <c r="AT59" s="921"/>
    </row>
    <row r="60" spans="1:46" ht="15" customHeight="1">
      <c r="A60" s="1188" t="s">
        <v>981</v>
      </c>
      <c r="B60" s="1196" t="s">
        <v>982</v>
      </c>
      <c r="C60" s="1196"/>
      <c r="D60" s="1196"/>
      <c r="E60" s="1196"/>
      <c r="F60" s="1196"/>
      <c r="G60" s="1196"/>
      <c r="H60" s="959" t="s">
        <v>1018</v>
      </c>
      <c r="I60" s="959"/>
      <c r="J60" s="959"/>
      <c r="K60" s="959"/>
      <c r="L60" s="959"/>
      <c r="M60" s="959"/>
      <c r="N60" s="959"/>
      <c r="O60" s="959"/>
      <c r="P60" s="959"/>
      <c r="Q60" s="959"/>
      <c r="R60" s="959"/>
      <c r="S60" s="959"/>
      <c r="T60" s="959"/>
      <c r="U60" s="959"/>
      <c r="V60" s="959"/>
      <c r="W60" s="959"/>
      <c r="X60" s="934" t="str">
        <f>IF(H60=3,"m'","Stk.")</f>
        <v>Stk.</v>
      </c>
      <c r="Y60" s="934"/>
      <c r="Z60" s="934"/>
      <c r="AA60" s="939" t="str">
        <f>IF(AI60=0,"",AI60/AE60)</f>
        <v/>
      </c>
      <c r="AB60" s="939"/>
      <c r="AC60" s="939"/>
      <c r="AD60" s="939"/>
      <c r="AE60" s="943"/>
      <c r="AF60" s="943"/>
      <c r="AG60" s="943"/>
      <c r="AH60" s="943"/>
      <c r="AI60" s="1184"/>
      <c r="AJ60" s="1184"/>
      <c r="AK60" s="1184"/>
      <c r="AL60" s="1185"/>
      <c r="AM60" s="933"/>
      <c r="AN60" s="934"/>
      <c r="AO60" s="934"/>
      <c r="AP60" s="934"/>
      <c r="AQ60" s="946"/>
      <c r="AR60" s="946"/>
      <c r="AS60" s="946"/>
      <c r="AT60" s="947"/>
    </row>
    <row r="61" spans="1:46" ht="15" customHeight="1">
      <c r="A61" s="1189"/>
      <c r="B61" s="951" t="s">
        <v>982</v>
      </c>
      <c r="C61" s="951"/>
      <c r="D61" s="951"/>
      <c r="E61" s="951"/>
      <c r="F61" s="951"/>
      <c r="G61" s="951"/>
      <c r="H61" s="953">
        <v>4</v>
      </c>
      <c r="I61" s="953"/>
      <c r="J61" s="953"/>
      <c r="K61" s="953"/>
      <c r="L61" s="953"/>
      <c r="M61" s="953"/>
      <c r="N61" s="953"/>
      <c r="O61" s="953"/>
      <c r="P61" s="953"/>
      <c r="Q61" s="953"/>
      <c r="R61" s="953"/>
      <c r="S61" s="953"/>
      <c r="T61" s="953"/>
      <c r="U61" s="953"/>
      <c r="V61" s="953"/>
      <c r="W61" s="953"/>
      <c r="X61" s="923" t="str">
        <f>IF(H61=3,"m'","Stk.")</f>
        <v>Stk.</v>
      </c>
      <c r="Y61" s="923"/>
      <c r="Z61" s="923"/>
      <c r="AA61" s="1193" t="str">
        <f>IF($H61=4,"",INDEX('Pauschalansätze etc.'!$BE$3:$BE$6,$H61,1))</f>
        <v/>
      </c>
      <c r="AB61" s="1193"/>
      <c r="AC61" s="1193"/>
      <c r="AD61" s="1193"/>
      <c r="AE61" s="927"/>
      <c r="AF61" s="927"/>
      <c r="AG61" s="927"/>
      <c r="AH61" s="927"/>
      <c r="AI61" s="914" t="str">
        <f t="shared" ref="AI61" si="1">IF(AE61=0,"",AE61*AA61)</f>
        <v/>
      </c>
      <c r="AJ61" s="914"/>
      <c r="AK61" s="914"/>
      <c r="AL61" s="915"/>
      <c r="AM61" s="922"/>
      <c r="AN61" s="923"/>
      <c r="AO61" s="923"/>
      <c r="AP61" s="923"/>
      <c r="AQ61" s="924"/>
      <c r="AR61" s="924"/>
      <c r="AS61" s="924"/>
      <c r="AT61" s="925"/>
    </row>
    <row r="62" spans="1:46" ht="15" customHeight="1">
      <c r="A62" s="1189"/>
      <c r="B62" s="951" t="s">
        <v>982</v>
      </c>
      <c r="C62" s="951"/>
      <c r="D62" s="951"/>
      <c r="E62" s="951"/>
      <c r="F62" s="951"/>
      <c r="G62" s="951"/>
      <c r="H62" s="953">
        <v>4</v>
      </c>
      <c r="I62" s="953"/>
      <c r="J62" s="953"/>
      <c r="K62" s="953"/>
      <c r="L62" s="953"/>
      <c r="M62" s="953"/>
      <c r="N62" s="953"/>
      <c r="O62" s="953"/>
      <c r="P62" s="953"/>
      <c r="Q62" s="953"/>
      <c r="R62" s="953"/>
      <c r="S62" s="953"/>
      <c r="T62" s="953"/>
      <c r="U62" s="953"/>
      <c r="V62" s="953"/>
      <c r="W62" s="953"/>
      <c r="X62" s="923" t="str">
        <f>IF(H62=3,"m'","Stk.")</f>
        <v>Stk.</v>
      </c>
      <c r="Y62" s="923"/>
      <c r="Z62" s="923"/>
      <c r="AA62" s="1193" t="str">
        <f>IF($H62=4,"",INDEX('Pauschalansätze etc.'!$BE$3:$BE$6,$H62,1))</f>
        <v/>
      </c>
      <c r="AB62" s="1193"/>
      <c r="AC62" s="1193"/>
      <c r="AD62" s="1193"/>
      <c r="AE62" s="927"/>
      <c r="AF62" s="927"/>
      <c r="AG62" s="927"/>
      <c r="AH62" s="927"/>
      <c r="AI62" s="914" t="str">
        <f t="shared" ref="AI62:AI64" si="2">IF(AE62=0,"",AE62*AA62)</f>
        <v/>
      </c>
      <c r="AJ62" s="914"/>
      <c r="AK62" s="914"/>
      <c r="AL62" s="915"/>
      <c r="AM62" s="922"/>
      <c r="AN62" s="923"/>
      <c r="AO62" s="923"/>
      <c r="AP62" s="923"/>
      <c r="AQ62" s="924"/>
      <c r="AR62" s="924"/>
      <c r="AS62" s="924"/>
      <c r="AT62" s="925"/>
    </row>
    <row r="63" spans="1:46" ht="15" customHeight="1">
      <c r="A63" s="1189"/>
      <c r="B63" s="951" t="s">
        <v>447</v>
      </c>
      <c r="C63" s="951"/>
      <c r="D63" s="951"/>
      <c r="E63" s="951"/>
      <c r="F63" s="951"/>
      <c r="G63" s="951"/>
      <c r="H63" s="951"/>
      <c r="I63" s="951"/>
      <c r="J63" s="951"/>
      <c r="K63" s="444" t="b">
        <v>0</v>
      </c>
      <c r="L63" s="951" t="s">
        <v>987</v>
      </c>
      <c r="M63" s="951"/>
      <c r="N63" s="951"/>
      <c r="O63" s="951"/>
      <c r="P63" s="951"/>
      <c r="Q63" s="444" t="b">
        <v>0</v>
      </c>
      <c r="R63" s="951" t="s">
        <v>988</v>
      </c>
      <c r="S63" s="951"/>
      <c r="T63" s="951"/>
      <c r="U63" s="951"/>
      <c r="V63" s="951"/>
      <c r="W63" s="951"/>
      <c r="X63" s="923" t="s">
        <v>24</v>
      </c>
      <c r="Y63" s="923"/>
      <c r="Z63" s="923"/>
      <c r="AA63" s="1186"/>
      <c r="AB63" s="1186"/>
      <c r="AC63" s="1186"/>
      <c r="AD63" s="1186"/>
      <c r="AE63" s="927"/>
      <c r="AF63" s="927"/>
      <c r="AG63" s="927"/>
      <c r="AH63" s="927"/>
      <c r="AI63" s="914" t="str">
        <f t="shared" si="2"/>
        <v/>
      </c>
      <c r="AJ63" s="914"/>
      <c r="AK63" s="914"/>
      <c r="AL63" s="915"/>
      <c r="AM63" s="922"/>
      <c r="AN63" s="923"/>
      <c r="AO63" s="923"/>
      <c r="AP63" s="923"/>
      <c r="AQ63" s="924"/>
      <c r="AR63" s="924"/>
      <c r="AS63" s="924"/>
      <c r="AT63" s="925"/>
    </row>
    <row r="64" spans="1:46" ht="15" customHeight="1">
      <c r="A64" s="1189"/>
      <c r="B64" s="951" t="s">
        <v>452</v>
      </c>
      <c r="C64" s="951"/>
      <c r="D64" s="951"/>
      <c r="E64" s="951"/>
      <c r="F64" s="951"/>
      <c r="G64" s="951"/>
      <c r="H64" s="951"/>
      <c r="I64" s="951"/>
      <c r="J64" s="951"/>
      <c r="K64" s="951"/>
      <c r="L64" s="1200"/>
      <c r="M64" s="1200"/>
      <c r="N64" s="1200"/>
      <c r="O64" s="1200"/>
      <c r="P64" s="1200"/>
      <c r="Q64" s="1200"/>
      <c r="R64" s="1200"/>
      <c r="S64" s="1200"/>
      <c r="T64" s="1200"/>
      <c r="U64" s="1200"/>
      <c r="V64" s="1200"/>
      <c r="W64" s="1200"/>
      <c r="X64" s="923" t="s">
        <v>24</v>
      </c>
      <c r="Y64" s="923"/>
      <c r="Z64" s="923"/>
      <c r="AA64" s="1186"/>
      <c r="AB64" s="1186"/>
      <c r="AC64" s="1186"/>
      <c r="AD64" s="1186"/>
      <c r="AE64" s="927"/>
      <c r="AF64" s="927"/>
      <c r="AG64" s="927"/>
      <c r="AH64" s="927"/>
      <c r="AI64" s="914" t="str">
        <f t="shared" si="2"/>
        <v/>
      </c>
      <c r="AJ64" s="914"/>
      <c r="AK64" s="914"/>
      <c r="AL64" s="915"/>
      <c r="AM64" s="922"/>
      <c r="AN64" s="923"/>
      <c r="AO64" s="923"/>
      <c r="AP64" s="923"/>
      <c r="AQ64" s="924"/>
      <c r="AR64" s="924"/>
      <c r="AS64" s="924"/>
      <c r="AT64" s="925"/>
    </row>
    <row r="65" spans="1:46" ht="15" customHeight="1" thickBot="1">
      <c r="A65" s="1190"/>
      <c r="B65" s="1197" t="s">
        <v>989</v>
      </c>
      <c r="C65" s="1197"/>
      <c r="D65" s="1197"/>
      <c r="E65" s="1197"/>
      <c r="F65" s="1197"/>
      <c r="G65" s="1198">
        <v>3</v>
      </c>
      <c r="H65" s="1198"/>
      <c r="I65" s="1198"/>
      <c r="J65" s="1198"/>
      <c r="K65" s="1198"/>
      <c r="L65" s="1198"/>
      <c r="M65" s="1198"/>
      <c r="N65" s="1198"/>
      <c r="O65" s="1198"/>
      <c r="P65" s="1198"/>
      <c r="Q65" s="1198"/>
      <c r="R65" s="1198"/>
      <c r="S65" s="1198"/>
      <c r="T65" s="1198"/>
      <c r="U65" s="1198"/>
      <c r="V65" s="1198"/>
      <c r="W65" s="1198"/>
      <c r="X65" s="913" t="s">
        <v>130</v>
      </c>
      <c r="Y65" s="913"/>
      <c r="Z65" s="913"/>
      <c r="AA65" s="1191" t="str">
        <f>IF($G65=3,"",INDEX('Pauschalansätze etc.'!BI3:BI5,$G65,1))</f>
        <v/>
      </c>
      <c r="AB65" s="1191"/>
      <c r="AC65" s="1191"/>
      <c r="AD65" s="1191"/>
      <c r="AE65" s="1192"/>
      <c r="AF65" s="1192"/>
      <c r="AG65" s="1192"/>
      <c r="AH65" s="1192"/>
      <c r="AI65" s="935" t="str">
        <f t="shared" ref="AI65" si="3">IF(AE65=0,"",AE65*AA65)</f>
        <v/>
      </c>
      <c r="AJ65" s="935"/>
      <c r="AK65" s="935"/>
      <c r="AL65" s="1195"/>
      <c r="AM65" s="912"/>
      <c r="AN65" s="913"/>
      <c r="AO65" s="913"/>
      <c r="AP65" s="913"/>
      <c r="AQ65" s="935"/>
      <c r="AR65" s="935"/>
      <c r="AS65" s="935"/>
      <c r="AT65" s="936"/>
    </row>
    <row r="66" spans="1:46" ht="7.5" customHeight="1">
      <c r="A66" s="1030"/>
      <c r="B66" s="1059" t="s">
        <v>139</v>
      </c>
      <c r="C66" s="1060"/>
      <c r="D66" s="1060"/>
      <c r="E66" s="1060"/>
      <c r="F66" s="1060"/>
      <c r="G66" s="1060"/>
      <c r="H66" s="1060"/>
      <c r="I66" s="1060"/>
      <c r="J66" s="1060"/>
      <c r="K66" s="1060"/>
      <c r="L66" s="1060"/>
      <c r="M66" s="1060"/>
      <c r="N66" s="1060"/>
      <c r="O66" s="1060"/>
      <c r="P66" s="1060"/>
      <c r="Q66" s="1060"/>
      <c r="R66" s="1060"/>
      <c r="S66" s="1060"/>
      <c r="T66" s="1060"/>
      <c r="U66" s="1060"/>
      <c r="V66" s="1060"/>
      <c r="W66" s="1060"/>
      <c r="X66" s="1063" t="s">
        <v>165</v>
      </c>
      <c r="Y66" s="1063"/>
      <c r="Z66" s="1063"/>
      <c r="AA66" s="1065"/>
      <c r="AB66" s="1066"/>
      <c r="AC66" s="1066"/>
      <c r="AD66" s="1066"/>
      <c r="AE66" s="1054"/>
      <c r="AF66" s="1054"/>
      <c r="AG66" s="1054"/>
      <c r="AH66" s="1054"/>
      <c r="AI66" s="1054" t="str">
        <f>IF(SUM(AI49:AL65)=0,"",SUM(AI49:AL65))</f>
        <v/>
      </c>
      <c r="AJ66" s="1054"/>
      <c r="AK66" s="1054"/>
      <c r="AL66" s="1068"/>
      <c r="AM66" s="1071"/>
      <c r="AN66" s="1054"/>
      <c r="AO66" s="1054"/>
      <c r="AP66" s="1054"/>
      <c r="AQ66" s="1054"/>
      <c r="AR66" s="1054"/>
      <c r="AS66" s="1054"/>
      <c r="AT66" s="1055"/>
    </row>
    <row r="67" spans="1:46" ht="7.5" customHeight="1">
      <c r="A67" s="1030"/>
      <c r="B67" s="1059"/>
      <c r="C67" s="1060"/>
      <c r="D67" s="1060"/>
      <c r="E67" s="1060"/>
      <c r="F67" s="1060"/>
      <c r="G67" s="1060"/>
      <c r="H67" s="1060"/>
      <c r="I67" s="1060"/>
      <c r="J67" s="1060"/>
      <c r="K67" s="1060"/>
      <c r="L67" s="1060"/>
      <c r="M67" s="1060"/>
      <c r="N67" s="1060"/>
      <c r="O67" s="1060"/>
      <c r="P67" s="1060"/>
      <c r="Q67" s="1060"/>
      <c r="R67" s="1060"/>
      <c r="S67" s="1060"/>
      <c r="T67" s="1060"/>
      <c r="U67" s="1060"/>
      <c r="V67" s="1060"/>
      <c r="W67" s="1060"/>
      <c r="X67" s="1063"/>
      <c r="Y67" s="1063"/>
      <c r="Z67" s="1063"/>
      <c r="AA67" s="1065"/>
      <c r="AB67" s="1066"/>
      <c r="AC67" s="1066"/>
      <c r="AD67" s="1066"/>
      <c r="AE67" s="1054"/>
      <c r="AF67" s="1054"/>
      <c r="AG67" s="1054"/>
      <c r="AH67" s="1054"/>
      <c r="AI67" s="1054"/>
      <c r="AJ67" s="1054"/>
      <c r="AK67" s="1054"/>
      <c r="AL67" s="1068"/>
      <c r="AM67" s="1071"/>
      <c r="AN67" s="1054"/>
      <c r="AO67" s="1054"/>
      <c r="AP67" s="1054"/>
      <c r="AQ67" s="1054"/>
      <c r="AR67" s="1054"/>
      <c r="AS67" s="1054"/>
      <c r="AT67" s="1055"/>
    </row>
    <row r="68" spans="1:46" ht="5.25" customHeight="1" thickBot="1">
      <c r="A68" s="1070"/>
      <c r="B68" s="1061"/>
      <c r="C68" s="1062"/>
      <c r="D68" s="1062"/>
      <c r="E68" s="1062"/>
      <c r="F68" s="1062"/>
      <c r="G68" s="1062"/>
      <c r="H68" s="1062"/>
      <c r="I68" s="1062"/>
      <c r="J68" s="1062"/>
      <c r="K68" s="1062"/>
      <c r="L68" s="1062"/>
      <c r="M68" s="1062"/>
      <c r="N68" s="1062"/>
      <c r="O68" s="1062"/>
      <c r="P68" s="1062"/>
      <c r="Q68" s="1062"/>
      <c r="R68" s="1062"/>
      <c r="S68" s="1062"/>
      <c r="T68" s="1062"/>
      <c r="U68" s="1062"/>
      <c r="V68" s="1062"/>
      <c r="W68" s="1062"/>
      <c r="X68" s="1064"/>
      <c r="Y68" s="1064"/>
      <c r="Z68" s="1064"/>
      <c r="AA68" s="1067"/>
      <c r="AB68" s="1067"/>
      <c r="AC68" s="1067"/>
      <c r="AD68" s="1067"/>
      <c r="AE68" s="1056"/>
      <c r="AF68" s="1056"/>
      <c r="AG68" s="1056"/>
      <c r="AH68" s="1056"/>
      <c r="AI68" s="1056"/>
      <c r="AJ68" s="1056"/>
      <c r="AK68" s="1056"/>
      <c r="AL68" s="1069"/>
      <c r="AM68" s="1072"/>
      <c r="AN68" s="1056"/>
      <c r="AO68" s="1056"/>
      <c r="AP68" s="1056"/>
      <c r="AQ68" s="1056"/>
      <c r="AR68" s="1056"/>
      <c r="AS68" s="1056"/>
      <c r="AT68" s="1057"/>
    </row>
    <row r="69" spans="1:46" ht="7.5" customHeight="1">
      <c r="A69" s="96"/>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8"/>
    </row>
    <row r="70" spans="1:46" ht="7.5" customHeight="1">
      <c r="A70" s="1030">
        <v>4</v>
      </c>
      <c r="B70" s="1031" t="s">
        <v>166</v>
      </c>
      <c r="C70" s="1031"/>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1031"/>
      <c r="AC70" s="1031"/>
      <c r="AD70" s="1031"/>
      <c r="AE70" s="1031"/>
      <c r="AF70" s="1031"/>
      <c r="AG70" s="1031"/>
      <c r="AH70" s="1031"/>
      <c r="AI70" s="1031"/>
      <c r="AJ70" s="1031"/>
      <c r="AK70" s="1031"/>
      <c r="AL70" s="1031"/>
      <c r="AM70" s="1031"/>
      <c r="AN70" s="1031"/>
      <c r="AO70" s="1031"/>
      <c r="AP70" s="1031"/>
      <c r="AQ70" s="1031"/>
      <c r="AR70" s="1031"/>
      <c r="AS70" s="1031"/>
      <c r="AT70" s="1033"/>
    </row>
    <row r="71" spans="1:46" ht="7.5" customHeight="1">
      <c r="A71" s="1030"/>
      <c r="B71" s="1031"/>
      <c r="C71" s="1031"/>
      <c r="D71" s="1031"/>
      <c r="E71" s="1031"/>
      <c r="F71" s="1031"/>
      <c r="G71" s="1031"/>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3"/>
    </row>
    <row r="72" spans="1:46" ht="7.5" customHeight="1">
      <c r="A72" s="88"/>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2"/>
    </row>
    <row r="73" spans="1:46" ht="7.5" customHeight="1">
      <c r="A73" s="88"/>
      <c r="B73" s="1013" t="s">
        <v>167</v>
      </c>
      <c r="C73" s="1013"/>
      <c r="D73" s="1013"/>
      <c r="E73" s="1013"/>
      <c r="F73" s="1013"/>
      <c r="G73" s="1013"/>
      <c r="H73" s="1013"/>
      <c r="I73" s="1013"/>
      <c r="J73" s="1013"/>
      <c r="K73" s="1013"/>
      <c r="L73" s="1013"/>
      <c r="M73" s="1013"/>
      <c r="N73" s="1013"/>
      <c r="O73" s="1013"/>
      <c r="P73" s="1013"/>
      <c r="Q73" s="1013"/>
      <c r="R73" s="1013"/>
      <c r="S73" s="1013"/>
      <c r="T73" s="1013"/>
      <c r="U73" s="1013"/>
      <c r="V73" s="1013"/>
      <c r="W73" s="1013"/>
      <c r="X73" s="1013"/>
      <c r="Y73" s="1013"/>
      <c r="Z73" s="1013"/>
      <c r="AA73" s="1013"/>
      <c r="AB73" s="1013"/>
      <c r="AC73" s="1013"/>
      <c r="AD73" s="1013"/>
      <c r="AE73" s="90"/>
      <c r="AF73" s="90"/>
      <c r="AG73" s="90"/>
      <c r="AH73" s="90"/>
      <c r="AI73" s="1058" t="s">
        <v>168</v>
      </c>
      <c r="AJ73" s="1058"/>
      <c r="AK73" s="1058"/>
      <c r="AL73" s="1058"/>
      <c r="AM73" s="1058"/>
      <c r="AN73" s="171"/>
      <c r="AO73" s="1058" t="s">
        <v>169</v>
      </c>
      <c r="AP73" s="1058"/>
      <c r="AQ73" s="1058"/>
      <c r="AR73" s="1058"/>
      <c r="AS73" s="1058"/>
      <c r="AT73" s="92"/>
    </row>
    <row r="74" spans="1:46" ht="7.5" customHeight="1">
      <c r="A74" s="88"/>
      <c r="B74" s="1013"/>
      <c r="C74" s="1013"/>
      <c r="D74" s="1013"/>
      <c r="E74" s="1013"/>
      <c r="F74" s="1013"/>
      <c r="G74" s="1013"/>
      <c r="H74" s="1013"/>
      <c r="I74" s="1013"/>
      <c r="J74" s="1013"/>
      <c r="K74" s="1013"/>
      <c r="L74" s="1013"/>
      <c r="M74" s="1013"/>
      <c r="N74" s="1013"/>
      <c r="O74" s="1013"/>
      <c r="P74" s="1013"/>
      <c r="Q74" s="1013"/>
      <c r="R74" s="1013"/>
      <c r="S74" s="1013"/>
      <c r="T74" s="1013"/>
      <c r="U74" s="1013"/>
      <c r="V74" s="1013"/>
      <c r="W74" s="1013"/>
      <c r="X74" s="1013"/>
      <c r="Y74" s="1013"/>
      <c r="Z74" s="1013"/>
      <c r="AA74" s="1013"/>
      <c r="AB74" s="1013"/>
      <c r="AC74" s="1013"/>
      <c r="AD74" s="1013"/>
      <c r="AE74" s="90"/>
      <c r="AF74" s="90"/>
      <c r="AG74" s="90"/>
      <c r="AH74" s="90"/>
      <c r="AI74" s="1058"/>
      <c r="AJ74" s="1058"/>
      <c r="AK74" s="1058"/>
      <c r="AL74" s="1058"/>
      <c r="AM74" s="1058"/>
      <c r="AN74" s="171"/>
      <c r="AO74" s="1058"/>
      <c r="AP74" s="1058"/>
      <c r="AQ74" s="1058"/>
      <c r="AR74" s="1058"/>
      <c r="AS74" s="1058"/>
      <c r="AT74" s="92"/>
    </row>
    <row r="75" spans="1:46" ht="7.5" customHeight="1">
      <c r="A75" s="88"/>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1073"/>
      <c r="AJ75" s="1074"/>
      <c r="AK75" s="1074"/>
      <c r="AL75" s="1074"/>
      <c r="AM75" s="1074"/>
      <c r="AN75" s="1074"/>
      <c r="AO75" s="1076"/>
      <c r="AP75" s="1076"/>
      <c r="AQ75" s="1076"/>
      <c r="AR75" s="1076"/>
      <c r="AS75" s="1076"/>
      <c r="AT75" s="92"/>
    </row>
    <row r="76" spans="1:46" ht="7.5" customHeight="1">
      <c r="A76" s="88"/>
      <c r="B76" s="1037" t="s">
        <v>992</v>
      </c>
      <c r="C76" s="1037"/>
      <c r="D76" s="1037"/>
      <c r="E76" s="1037"/>
      <c r="F76" s="1037"/>
      <c r="G76" s="1037"/>
      <c r="H76" s="1037"/>
      <c r="I76" s="1037"/>
      <c r="J76" s="1037"/>
      <c r="K76" s="1037"/>
      <c r="L76" s="1037"/>
      <c r="M76" s="1037"/>
      <c r="N76" s="1037"/>
      <c r="O76" s="1037"/>
      <c r="P76" s="1037"/>
      <c r="Q76" s="1037"/>
      <c r="R76" s="1037"/>
      <c r="S76" s="1037"/>
      <c r="T76" s="1037"/>
      <c r="U76" s="1037"/>
      <c r="V76" s="1037"/>
      <c r="W76" s="1037"/>
      <c r="X76" s="1037"/>
      <c r="Y76" s="1037"/>
      <c r="Z76" s="1037"/>
      <c r="AA76" s="1037"/>
      <c r="AB76" s="1037"/>
      <c r="AC76" s="1037"/>
      <c r="AD76" s="1037"/>
      <c r="AE76" s="1037"/>
      <c r="AF76" s="1037"/>
      <c r="AG76" s="1037"/>
      <c r="AH76" s="90"/>
      <c r="AI76" s="1074"/>
      <c r="AJ76" s="1074"/>
      <c r="AK76" s="1074"/>
      <c r="AL76" s="1074"/>
      <c r="AM76" s="1074"/>
      <c r="AN76" s="1074"/>
      <c r="AO76" s="1076"/>
      <c r="AP76" s="1076"/>
      <c r="AQ76" s="1076"/>
      <c r="AR76" s="1076"/>
      <c r="AS76" s="1076"/>
      <c r="AT76" s="92"/>
    </row>
    <row r="77" spans="1:46" ht="7.5" customHeight="1">
      <c r="A77" s="88"/>
      <c r="B77" s="1037"/>
      <c r="C77" s="1037"/>
      <c r="D77" s="1037"/>
      <c r="E77" s="1037"/>
      <c r="F77" s="1037"/>
      <c r="G77" s="1037"/>
      <c r="H77" s="1037"/>
      <c r="I77" s="1037"/>
      <c r="J77" s="1037"/>
      <c r="K77" s="1037"/>
      <c r="L77" s="1037"/>
      <c r="M77" s="1037"/>
      <c r="N77" s="1037"/>
      <c r="O77" s="1037"/>
      <c r="P77" s="1037"/>
      <c r="Q77" s="1037"/>
      <c r="R77" s="1037"/>
      <c r="S77" s="1037"/>
      <c r="T77" s="1037"/>
      <c r="U77" s="1037"/>
      <c r="V77" s="1037"/>
      <c r="W77" s="1037"/>
      <c r="X77" s="1037"/>
      <c r="Y77" s="1037"/>
      <c r="Z77" s="1037"/>
      <c r="AA77" s="1037"/>
      <c r="AB77" s="1037"/>
      <c r="AC77" s="1037"/>
      <c r="AD77" s="1037"/>
      <c r="AE77" s="1037"/>
      <c r="AF77" s="1037"/>
      <c r="AG77" s="1037"/>
      <c r="AH77" s="90"/>
      <c r="AI77" s="1075"/>
      <c r="AJ77" s="1075"/>
      <c r="AK77" s="1075"/>
      <c r="AL77" s="1075"/>
      <c r="AM77" s="1075"/>
      <c r="AN77" s="1075"/>
      <c r="AO77" s="1077"/>
      <c r="AP77" s="1077"/>
      <c r="AQ77" s="1077"/>
      <c r="AR77" s="1077"/>
      <c r="AS77" s="1077"/>
      <c r="AT77" s="92"/>
    </row>
    <row r="78" spans="1:46" ht="7.5" customHeight="1">
      <c r="A78" s="88"/>
      <c r="B78" s="1037"/>
      <c r="C78" s="1037"/>
      <c r="D78" s="1037"/>
      <c r="E78" s="1037"/>
      <c r="F78" s="1037"/>
      <c r="G78" s="1037"/>
      <c r="H78" s="1037"/>
      <c r="I78" s="1037"/>
      <c r="J78" s="1037"/>
      <c r="K78" s="1037"/>
      <c r="L78" s="1037"/>
      <c r="M78" s="1037"/>
      <c r="N78" s="1037"/>
      <c r="O78" s="1037"/>
      <c r="P78" s="1037"/>
      <c r="Q78" s="1037"/>
      <c r="R78" s="1037"/>
      <c r="S78" s="1037"/>
      <c r="T78" s="1037"/>
      <c r="U78" s="1037"/>
      <c r="V78" s="1037"/>
      <c r="W78" s="1037"/>
      <c r="X78" s="1037"/>
      <c r="Y78" s="1037"/>
      <c r="Z78" s="1037"/>
      <c r="AA78" s="1037"/>
      <c r="AB78" s="1037"/>
      <c r="AC78" s="1037"/>
      <c r="AD78" s="1037"/>
      <c r="AE78" s="1037"/>
      <c r="AF78" s="1037"/>
      <c r="AG78" s="1037"/>
      <c r="AH78" s="90"/>
      <c r="AT78" s="92"/>
    </row>
    <row r="79" spans="1:46" ht="7.5" customHeight="1">
      <c r="A79" s="88"/>
      <c r="B79" s="1037"/>
      <c r="C79" s="1037"/>
      <c r="D79" s="1037"/>
      <c r="E79" s="1037"/>
      <c r="F79" s="1037"/>
      <c r="G79" s="1037"/>
      <c r="H79" s="1037"/>
      <c r="I79" s="1037"/>
      <c r="J79" s="1037"/>
      <c r="K79" s="1037"/>
      <c r="L79" s="1037"/>
      <c r="M79" s="1037"/>
      <c r="N79" s="1037"/>
      <c r="O79" s="1037"/>
      <c r="P79" s="1037"/>
      <c r="Q79" s="1037"/>
      <c r="R79" s="1037"/>
      <c r="S79" s="1037"/>
      <c r="T79" s="1037"/>
      <c r="U79" s="1037"/>
      <c r="V79" s="1037"/>
      <c r="W79" s="1037"/>
      <c r="X79" s="1037"/>
      <c r="Y79" s="1037"/>
      <c r="Z79" s="1037"/>
      <c r="AA79" s="1037"/>
      <c r="AB79" s="1037"/>
      <c r="AC79" s="1037"/>
      <c r="AD79" s="1037"/>
      <c r="AE79" s="1037"/>
      <c r="AF79" s="1037"/>
      <c r="AG79" s="1037"/>
      <c r="AH79" s="90"/>
      <c r="AI79" s="1013" t="s">
        <v>170</v>
      </c>
      <c r="AJ79" s="1013"/>
      <c r="AK79" s="1013"/>
      <c r="AL79" s="1013"/>
      <c r="AM79" s="1013"/>
      <c r="AN79" s="1013"/>
      <c r="AO79" s="1013"/>
      <c r="AP79" s="1013"/>
      <c r="AQ79" s="1013"/>
      <c r="AR79" s="1013"/>
      <c r="AS79" s="1013"/>
      <c r="AT79" s="92"/>
    </row>
    <row r="80" spans="1:46" ht="7.5" customHeight="1">
      <c r="A80" s="88"/>
      <c r="B80" s="1037"/>
      <c r="C80" s="1037"/>
      <c r="D80" s="1037"/>
      <c r="E80" s="1037"/>
      <c r="F80" s="1037"/>
      <c r="G80" s="1037"/>
      <c r="H80" s="1037"/>
      <c r="I80" s="1037"/>
      <c r="J80" s="1037"/>
      <c r="K80" s="1037"/>
      <c r="L80" s="1037"/>
      <c r="M80" s="1037"/>
      <c r="N80" s="1037"/>
      <c r="O80" s="1037"/>
      <c r="P80" s="1037"/>
      <c r="Q80" s="1037"/>
      <c r="R80" s="1037"/>
      <c r="S80" s="1037"/>
      <c r="T80" s="1037"/>
      <c r="U80" s="1037"/>
      <c r="V80" s="1037"/>
      <c r="W80" s="1037"/>
      <c r="X80" s="1037"/>
      <c r="Y80" s="1037"/>
      <c r="Z80" s="1037"/>
      <c r="AA80" s="1037"/>
      <c r="AB80" s="1037"/>
      <c r="AC80" s="1037"/>
      <c r="AD80" s="1037"/>
      <c r="AE80" s="1037"/>
      <c r="AF80" s="1037"/>
      <c r="AG80" s="1037"/>
      <c r="AH80" s="90"/>
      <c r="AI80" s="1013"/>
      <c r="AJ80" s="1013"/>
      <c r="AK80" s="1013"/>
      <c r="AL80" s="1013"/>
      <c r="AM80" s="1013"/>
      <c r="AN80" s="1013"/>
      <c r="AO80" s="1013"/>
      <c r="AP80" s="1013"/>
      <c r="AQ80" s="1013"/>
      <c r="AR80" s="1013"/>
      <c r="AS80" s="1013"/>
      <c r="AT80" s="92"/>
    </row>
    <row r="81" spans="1:46" ht="7.5" customHeight="1">
      <c r="A81" s="88"/>
      <c r="B81" s="1037"/>
      <c r="C81" s="1037"/>
      <c r="D81" s="1037"/>
      <c r="E81" s="1037"/>
      <c r="F81" s="1037"/>
      <c r="G81" s="1037"/>
      <c r="H81" s="1037"/>
      <c r="I81" s="1037"/>
      <c r="J81" s="1037"/>
      <c r="K81" s="1037"/>
      <c r="L81" s="1037"/>
      <c r="M81" s="1037"/>
      <c r="N81" s="1037"/>
      <c r="O81" s="1037"/>
      <c r="P81" s="1037"/>
      <c r="Q81" s="1037"/>
      <c r="R81" s="1037"/>
      <c r="S81" s="1037"/>
      <c r="T81" s="1037"/>
      <c r="U81" s="1037"/>
      <c r="V81" s="1037"/>
      <c r="W81" s="1037"/>
      <c r="X81" s="1037"/>
      <c r="Y81" s="1037"/>
      <c r="Z81" s="1037"/>
      <c r="AA81" s="1037"/>
      <c r="AB81" s="1037"/>
      <c r="AC81" s="1037"/>
      <c r="AD81" s="1037"/>
      <c r="AE81" s="1037"/>
      <c r="AF81" s="1037"/>
      <c r="AG81" s="1037"/>
      <c r="AH81" s="90"/>
      <c r="AI81" s="1052"/>
      <c r="AJ81" s="1052"/>
      <c r="AK81" s="1052"/>
      <c r="AL81" s="1052"/>
      <c r="AM81" s="1052"/>
      <c r="AN81" s="1052"/>
      <c r="AO81" s="1052"/>
      <c r="AP81" s="1052"/>
      <c r="AQ81" s="1052"/>
      <c r="AR81" s="1052"/>
      <c r="AS81" s="1052"/>
      <c r="AT81" s="92"/>
    </row>
    <row r="82" spans="1:46" ht="7.5" customHeight="1">
      <c r="A82" s="88"/>
      <c r="B82" s="1037"/>
      <c r="C82" s="1037"/>
      <c r="D82" s="1037"/>
      <c r="E82" s="1037"/>
      <c r="F82" s="1037"/>
      <c r="G82" s="1037"/>
      <c r="H82" s="1037"/>
      <c r="I82" s="1037"/>
      <c r="J82" s="1037"/>
      <c r="K82" s="1037"/>
      <c r="L82" s="1037"/>
      <c r="M82" s="1037"/>
      <c r="N82" s="1037"/>
      <c r="O82" s="1037"/>
      <c r="P82" s="1037"/>
      <c r="Q82" s="1037"/>
      <c r="R82" s="1037"/>
      <c r="S82" s="1037"/>
      <c r="T82" s="1037"/>
      <c r="U82" s="1037"/>
      <c r="V82" s="1037"/>
      <c r="W82" s="1037"/>
      <c r="X82" s="1037"/>
      <c r="Y82" s="1037"/>
      <c r="Z82" s="1037"/>
      <c r="AA82" s="1037"/>
      <c r="AB82" s="1037"/>
      <c r="AC82" s="1037"/>
      <c r="AD82" s="1037"/>
      <c r="AE82" s="1037"/>
      <c r="AF82" s="1037"/>
      <c r="AG82" s="1037"/>
      <c r="AH82" s="90"/>
      <c r="AI82" s="1052"/>
      <c r="AJ82" s="1052"/>
      <c r="AK82" s="1052"/>
      <c r="AL82" s="1052"/>
      <c r="AM82" s="1052"/>
      <c r="AN82" s="1052"/>
      <c r="AO82" s="1052"/>
      <c r="AP82" s="1052"/>
      <c r="AQ82" s="1052"/>
      <c r="AR82" s="1052"/>
      <c r="AS82" s="1052"/>
      <c r="AT82" s="92"/>
    </row>
    <row r="83" spans="1:46" ht="7.5" customHeight="1">
      <c r="A83" s="88"/>
      <c r="B83" s="1037"/>
      <c r="C83" s="1037"/>
      <c r="D83" s="1037"/>
      <c r="E83" s="1037"/>
      <c r="F83" s="1037"/>
      <c r="G83" s="1037"/>
      <c r="H83" s="1037"/>
      <c r="I83" s="1037"/>
      <c r="J83" s="1037"/>
      <c r="K83" s="1037"/>
      <c r="L83" s="1037"/>
      <c r="M83" s="1037"/>
      <c r="N83" s="1037"/>
      <c r="O83" s="1037"/>
      <c r="P83" s="1037"/>
      <c r="Q83" s="1037"/>
      <c r="R83" s="1037"/>
      <c r="S83" s="1037"/>
      <c r="T83" s="1037"/>
      <c r="U83" s="1037"/>
      <c r="V83" s="1037"/>
      <c r="W83" s="1037"/>
      <c r="X83" s="1037"/>
      <c r="Y83" s="1037"/>
      <c r="Z83" s="1037"/>
      <c r="AA83" s="1037"/>
      <c r="AB83" s="1037"/>
      <c r="AC83" s="1037"/>
      <c r="AD83" s="1037"/>
      <c r="AE83" s="1037"/>
      <c r="AF83" s="1037"/>
      <c r="AG83" s="1037"/>
      <c r="AH83" s="90"/>
      <c r="AI83" s="1052"/>
      <c r="AJ83" s="1052"/>
      <c r="AK83" s="1052"/>
      <c r="AL83" s="1052"/>
      <c r="AM83" s="1052"/>
      <c r="AN83" s="1052"/>
      <c r="AO83" s="1052"/>
      <c r="AP83" s="1052"/>
      <c r="AQ83" s="1052"/>
      <c r="AR83" s="1052"/>
      <c r="AS83" s="1052"/>
      <c r="AT83" s="92"/>
    </row>
    <row r="84" spans="1:46" ht="7.5" customHeight="1">
      <c r="A84" s="88"/>
      <c r="B84" s="1037"/>
      <c r="C84" s="1037"/>
      <c r="D84" s="1037"/>
      <c r="E84" s="1037"/>
      <c r="F84" s="1037"/>
      <c r="G84" s="1037"/>
      <c r="H84" s="1037"/>
      <c r="I84" s="1037"/>
      <c r="J84" s="1037"/>
      <c r="K84" s="1037"/>
      <c r="L84" s="1037"/>
      <c r="M84" s="1037"/>
      <c r="N84" s="1037"/>
      <c r="O84" s="1037"/>
      <c r="P84" s="1037"/>
      <c r="Q84" s="1037"/>
      <c r="R84" s="1037"/>
      <c r="S84" s="1037"/>
      <c r="T84" s="1037"/>
      <c r="U84" s="1037"/>
      <c r="V84" s="1037"/>
      <c r="W84" s="1037"/>
      <c r="X84" s="1037"/>
      <c r="Y84" s="1037"/>
      <c r="Z84" s="1037"/>
      <c r="AA84" s="1037"/>
      <c r="AB84" s="1037"/>
      <c r="AC84" s="1037"/>
      <c r="AD84" s="1037"/>
      <c r="AE84" s="1037"/>
      <c r="AF84" s="1037"/>
      <c r="AG84" s="1037"/>
      <c r="AH84" s="90"/>
      <c r="AI84" s="1053"/>
      <c r="AJ84" s="1053"/>
      <c r="AK84" s="1053"/>
      <c r="AL84" s="1053"/>
      <c r="AM84" s="1053"/>
      <c r="AN84" s="1053"/>
      <c r="AO84" s="1053"/>
      <c r="AP84" s="1053"/>
      <c r="AQ84" s="1053"/>
      <c r="AR84" s="1053"/>
      <c r="AS84" s="1053"/>
      <c r="AT84" s="92"/>
    </row>
    <row r="85" spans="1:46" ht="5.25" customHeight="1" thickBot="1">
      <c r="A85" s="93"/>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4"/>
      <c r="AI85" s="94"/>
      <c r="AJ85" s="94"/>
      <c r="AK85" s="94"/>
      <c r="AL85" s="94"/>
      <c r="AM85" s="94"/>
      <c r="AN85" s="94"/>
      <c r="AO85" s="94"/>
      <c r="AP85" s="94"/>
      <c r="AQ85" s="94"/>
      <c r="AR85" s="94"/>
      <c r="AS85" s="94"/>
      <c r="AT85" s="95"/>
    </row>
    <row r="86" spans="1:46" ht="6" customHeight="1">
      <c r="A86" s="96"/>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8"/>
    </row>
    <row r="87" spans="1:46" ht="7.5" customHeight="1">
      <c r="A87" s="1030">
        <v>5</v>
      </c>
      <c r="B87" s="1031" t="s">
        <v>135</v>
      </c>
      <c r="C87" s="1031"/>
      <c r="D87" s="1031"/>
      <c r="E87" s="1031"/>
      <c r="F87" s="1031"/>
      <c r="G87" s="1031"/>
      <c r="H87" s="1031"/>
      <c r="I87" s="1031"/>
      <c r="J87" s="1031"/>
      <c r="K87" s="1031"/>
      <c r="L87" s="1031"/>
      <c r="M87" s="1031"/>
      <c r="N87" s="1031"/>
      <c r="O87" s="1031"/>
      <c r="P87" s="1031"/>
      <c r="Q87" s="1031"/>
      <c r="R87" s="1031"/>
      <c r="S87" s="1031"/>
      <c r="T87" s="1031"/>
      <c r="U87" s="1031"/>
      <c r="V87" s="1031"/>
      <c r="W87" s="1031"/>
      <c r="X87" s="1031"/>
      <c r="Y87" s="1031"/>
      <c r="Z87" s="1031"/>
      <c r="AA87" s="1031"/>
      <c r="AB87" s="1031"/>
      <c r="AC87" s="1031"/>
      <c r="AD87" s="1031"/>
      <c r="AE87" s="1031"/>
      <c r="AF87" s="1031"/>
      <c r="AG87" s="1031"/>
      <c r="AH87" s="100"/>
      <c r="AI87" s="1013" t="s">
        <v>171</v>
      </c>
      <c r="AJ87" s="1013"/>
      <c r="AK87" s="1013"/>
      <c r="AL87" s="1013"/>
      <c r="AM87" s="1013"/>
      <c r="AN87" s="1013"/>
      <c r="AO87" s="1013"/>
      <c r="AP87" s="1013"/>
      <c r="AQ87" s="1013"/>
      <c r="AR87" s="1013"/>
      <c r="AS87" s="1013"/>
      <c r="AT87" s="101"/>
    </row>
    <row r="88" spans="1:46" ht="7.5" customHeight="1">
      <c r="A88" s="1030"/>
      <c r="B88" s="1031"/>
      <c r="C88" s="1031"/>
      <c r="D88" s="1031"/>
      <c r="E88" s="1031"/>
      <c r="F88" s="1031"/>
      <c r="G88" s="1031"/>
      <c r="H88" s="1031"/>
      <c r="I88" s="1031"/>
      <c r="J88" s="1031"/>
      <c r="K88" s="1031"/>
      <c r="L88" s="1031"/>
      <c r="M88" s="1031"/>
      <c r="N88" s="1031"/>
      <c r="O88" s="1031"/>
      <c r="P88" s="1031"/>
      <c r="Q88" s="1031"/>
      <c r="R88" s="1031"/>
      <c r="S88" s="1031"/>
      <c r="T88" s="1031"/>
      <c r="U88" s="1031"/>
      <c r="V88" s="1031"/>
      <c r="W88" s="1031"/>
      <c r="X88" s="1031"/>
      <c r="Y88" s="1031"/>
      <c r="Z88" s="1031"/>
      <c r="AA88" s="1031"/>
      <c r="AB88" s="1031"/>
      <c r="AC88" s="1031"/>
      <c r="AD88" s="1031"/>
      <c r="AE88" s="1031"/>
      <c r="AF88" s="1031"/>
      <c r="AG88" s="1031"/>
      <c r="AH88" s="100"/>
      <c r="AI88" s="1013"/>
      <c r="AJ88" s="1013"/>
      <c r="AK88" s="1013"/>
      <c r="AL88" s="1013"/>
      <c r="AM88" s="1013"/>
      <c r="AN88" s="1013"/>
      <c r="AO88" s="1013"/>
      <c r="AP88" s="1013"/>
      <c r="AQ88" s="1013"/>
      <c r="AR88" s="1013"/>
      <c r="AS88" s="1013"/>
      <c r="AT88" s="101"/>
    </row>
    <row r="89" spans="1:46" ht="7.5" customHeight="1">
      <c r="A89" s="88"/>
      <c r="B89" s="1013" t="s">
        <v>168</v>
      </c>
      <c r="C89" s="1013"/>
      <c r="D89" s="1013"/>
      <c r="E89" s="1013"/>
      <c r="F89" s="1013"/>
      <c r="G89" s="90"/>
      <c r="H89" s="90"/>
      <c r="I89" s="90"/>
      <c r="J89" s="90"/>
      <c r="K89" s="90"/>
      <c r="L89" s="1013" t="s">
        <v>169</v>
      </c>
      <c r="M89" s="1013"/>
      <c r="N89" s="1013"/>
      <c r="O89" s="1013"/>
      <c r="P89" s="1013"/>
      <c r="Q89" s="90"/>
      <c r="R89" s="90"/>
      <c r="S89" s="90"/>
      <c r="T89" s="90"/>
      <c r="U89" s="90"/>
      <c r="V89" s="1013" t="s">
        <v>135</v>
      </c>
      <c r="W89" s="1013"/>
      <c r="X89" s="1013"/>
      <c r="Y89" s="1013"/>
      <c r="Z89" s="1013"/>
      <c r="AA89" s="1013"/>
      <c r="AB89" s="90"/>
      <c r="AC89" s="90"/>
      <c r="AD89" s="90"/>
      <c r="AE89" s="90"/>
      <c r="AF89" s="90"/>
      <c r="AG89" s="90"/>
      <c r="AH89" s="90"/>
      <c r="AI89" s="1044"/>
      <c r="AJ89" s="1045"/>
      <c r="AK89" s="1045"/>
      <c r="AL89" s="1045"/>
      <c r="AM89" s="1045"/>
      <c r="AN89" s="1045"/>
      <c r="AO89" s="1045"/>
      <c r="AP89" s="1045"/>
      <c r="AQ89" s="1045"/>
      <c r="AR89" s="1045"/>
      <c r="AS89" s="1045"/>
      <c r="AT89" s="92"/>
    </row>
    <row r="90" spans="1:46" ht="7.5" customHeight="1">
      <c r="A90" s="88"/>
      <c r="B90" s="1013"/>
      <c r="C90" s="1013"/>
      <c r="D90" s="1013"/>
      <c r="E90" s="1013"/>
      <c r="F90" s="1013"/>
      <c r="G90" s="90"/>
      <c r="H90" s="90"/>
      <c r="I90" s="90"/>
      <c r="J90" s="90"/>
      <c r="K90" s="90"/>
      <c r="L90" s="1013"/>
      <c r="M90" s="1013"/>
      <c r="N90" s="1013"/>
      <c r="O90" s="1013"/>
      <c r="P90" s="1013"/>
      <c r="Q90" s="90"/>
      <c r="R90" s="90"/>
      <c r="S90" s="90"/>
      <c r="T90" s="90"/>
      <c r="U90" s="90"/>
      <c r="V90" s="1013"/>
      <c r="W90" s="1013"/>
      <c r="X90" s="1013"/>
      <c r="Y90" s="1013"/>
      <c r="Z90" s="1013"/>
      <c r="AA90" s="1013"/>
      <c r="AB90" s="90"/>
      <c r="AC90" s="90"/>
      <c r="AD90" s="90"/>
      <c r="AE90" s="90"/>
      <c r="AF90" s="90"/>
      <c r="AG90" s="90"/>
      <c r="AH90" s="90"/>
      <c r="AI90" s="1046"/>
      <c r="AJ90" s="1046"/>
      <c r="AK90" s="1046"/>
      <c r="AL90" s="1046"/>
      <c r="AM90" s="1046"/>
      <c r="AN90" s="1046"/>
      <c r="AO90" s="1046"/>
      <c r="AP90" s="1046"/>
      <c r="AQ90" s="1046"/>
      <c r="AR90" s="1046"/>
      <c r="AS90" s="1046"/>
      <c r="AT90" s="92"/>
    </row>
    <row r="91" spans="1:46" ht="7.5" customHeight="1" thickBot="1">
      <c r="A91" s="88"/>
      <c r="B91" s="1047" t="str">
        <f>IF('4_Anzeichnungsprotokoll'!D84="","",'4_Anzeichnungsprotokoll'!D84)</f>
        <v/>
      </c>
      <c r="C91" s="1048"/>
      <c r="D91" s="1048"/>
      <c r="E91" s="1048"/>
      <c r="F91" s="1048"/>
      <c r="G91" s="1048"/>
      <c r="H91" s="1048"/>
      <c r="I91" s="1048"/>
      <c r="J91" s="1048"/>
      <c r="K91" s="1048"/>
      <c r="L91" s="1050"/>
      <c r="M91" s="1050"/>
      <c r="N91" s="1050"/>
      <c r="O91" s="1050"/>
      <c r="P91" s="1050"/>
      <c r="Q91" s="1050"/>
      <c r="R91" s="1050"/>
      <c r="S91" s="1050"/>
      <c r="T91" s="1050"/>
      <c r="U91" s="1050"/>
      <c r="V91" s="1048"/>
      <c r="W91" s="1048"/>
      <c r="X91" s="1048"/>
      <c r="Y91" s="1048"/>
      <c r="Z91" s="1048"/>
      <c r="AA91" s="1048"/>
      <c r="AB91" s="1048"/>
      <c r="AC91" s="1048"/>
      <c r="AD91" s="1048"/>
      <c r="AE91" s="1048"/>
      <c r="AF91" s="1048"/>
      <c r="AG91" s="1048"/>
      <c r="AH91" s="90"/>
      <c r="AI91" s="90"/>
      <c r="AJ91" s="90"/>
      <c r="AK91" s="90"/>
      <c r="AL91" s="90"/>
      <c r="AM91" s="90"/>
      <c r="AN91" s="90"/>
      <c r="AO91" s="90"/>
      <c r="AP91" s="90"/>
      <c r="AQ91" s="90"/>
      <c r="AR91" s="90"/>
      <c r="AS91" s="90"/>
      <c r="AT91" s="92"/>
    </row>
    <row r="92" spans="1:46" ht="7.5" customHeight="1">
      <c r="A92" s="88"/>
      <c r="B92" s="1048"/>
      <c r="C92" s="1048"/>
      <c r="D92" s="1048"/>
      <c r="E92" s="1048"/>
      <c r="F92" s="1048"/>
      <c r="G92" s="1048"/>
      <c r="H92" s="1048"/>
      <c r="I92" s="1048"/>
      <c r="J92" s="1048"/>
      <c r="K92" s="1048"/>
      <c r="L92" s="1050"/>
      <c r="M92" s="1050"/>
      <c r="N92" s="1050"/>
      <c r="O92" s="1050"/>
      <c r="P92" s="1050"/>
      <c r="Q92" s="1050"/>
      <c r="R92" s="1050"/>
      <c r="S92" s="1050"/>
      <c r="T92" s="1050"/>
      <c r="U92" s="1050"/>
      <c r="V92" s="1048"/>
      <c r="W92" s="1048"/>
      <c r="X92" s="1048"/>
      <c r="Y92" s="1048"/>
      <c r="Z92" s="1048"/>
      <c r="AA92" s="1048"/>
      <c r="AB92" s="1048"/>
      <c r="AC92" s="1048"/>
      <c r="AD92" s="1048"/>
      <c r="AE92" s="1048"/>
      <c r="AF92" s="1048"/>
      <c r="AG92" s="1048"/>
      <c r="AH92" s="90"/>
      <c r="AI92" s="1013" t="s">
        <v>172</v>
      </c>
      <c r="AJ92" s="1013"/>
      <c r="AK92" s="1013"/>
      <c r="AL92" s="1013"/>
      <c r="AM92" s="1013"/>
      <c r="AN92" s="1013"/>
      <c r="AO92" s="1013"/>
      <c r="AP92" s="1013"/>
      <c r="AQ92" s="1027"/>
      <c r="AR92" s="1028"/>
      <c r="AS92" s="90"/>
      <c r="AT92" s="92"/>
    </row>
    <row r="93" spans="1:46" ht="7.5" customHeight="1" thickBot="1">
      <c r="A93" s="88"/>
      <c r="B93" s="1049"/>
      <c r="C93" s="1049"/>
      <c r="D93" s="1049"/>
      <c r="E93" s="1049"/>
      <c r="F93" s="1049"/>
      <c r="G93" s="1049"/>
      <c r="H93" s="1049"/>
      <c r="I93" s="1049"/>
      <c r="J93" s="1049"/>
      <c r="K93" s="1049"/>
      <c r="L93" s="1051"/>
      <c r="M93" s="1051"/>
      <c r="N93" s="1051"/>
      <c r="O93" s="1051"/>
      <c r="P93" s="1051"/>
      <c r="Q93" s="1051"/>
      <c r="R93" s="1051"/>
      <c r="S93" s="1051"/>
      <c r="T93" s="1051"/>
      <c r="U93" s="1051"/>
      <c r="V93" s="1049"/>
      <c r="W93" s="1049"/>
      <c r="X93" s="1049"/>
      <c r="Y93" s="1049"/>
      <c r="Z93" s="1049"/>
      <c r="AA93" s="1049"/>
      <c r="AB93" s="1049"/>
      <c r="AC93" s="1049"/>
      <c r="AD93" s="1049"/>
      <c r="AE93" s="1049"/>
      <c r="AF93" s="1049"/>
      <c r="AG93" s="1049"/>
      <c r="AH93" s="90"/>
      <c r="AI93" s="1013"/>
      <c r="AJ93" s="1013"/>
      <c r="AK93" s="1013"/>
      <c r="AL93" s="1013"/>
      <c r="AM93" s="1013"/>
      <c r="AN93" s="1013"/>
      <c r="AO93" s="1013"/>
      <c r="AP93" s="1013"/>
      <c r="AQ93" s="1027"/>
      <c r="AR93" s="1029"/>
      <c r="AS93" s="90"/>
      <c r="AT93" s="92"/>
    </row>
    <row r="94" spans="1:46" ht="4.5" customHeight="1" thickBot="1">
      <c r="A94" s="93"/>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5"/>
    </row>
    <row r="95" spans="1:46" ht="5.25" customHeight="1">
      <c r="A95" s="96"/>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8"/>
    </row>
    <row r="96" spans="1:46" ht="7.5" customHeight="1">
      <c r="A96" s="1030">
        <v>6</v>
      </c>
      <c r="B96" s="1031" t="s">
        <v>173</v>
      </c>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90"/>
      <c r="AI96" s="1036" t="s">
        <v>169</v>
      </c>
      <c r="AJ96" s="1036"/>
      <c r="AK96" s="1036"/>
      <c r="AL96" s="1036"/>
      <c r="AM96" s="1036"/>
      <c r="AN96" s="1036"/>
      <c r="AO96" s="1036"/>
      <c r="AP96" s="1036"/>
      <c r="AQ96" s="1036"/>
      <c r="AR96" s="1036"/>
      <c r="AS96" s="1036"/>
      <c r="AT96" s="92"/>
    </row>
    <row r="97" spans="1:46" ht="7.5" customHeight="1">
      <c r="A97" s="1030"/>
      <c r="B97" s="598"/>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90"/>
      <c r="AI97" s="1036"/>
      <c r="AJ97" s="1036"/>
      <c r="AK97" s="1036"/>
      <c r="AL97" s="1036"/>
      <c r="AM97" s="1036"/>
      <c r="AN97" s="1036"/>
      <c r="AO97" s="1036"/>
      <c r="AP97" s="1036"/>
      <c r="AQ97" s="1036"/>
      <c r="AR97" s="1036"/>
      <c r="AS97" s="1036"/>
      <c r="AT97" s="92"/>
    </row>
    <row r="98" spans="1:46" ht="7.5" customHeight="1">
      <c r="A98" s="88"/>
      <c r="B98" s="1037" t="s">
        <v>993</v>
      </c>
      <c r="C98" s="1038"/>
      <c r="D98" s="1038"/>
      <c r="E98" s="1038"/>
      <c r="F98" s="1038"/>
      <c r="G98" s="1038"/>
      <c r="H98" s="1038"/>
      <c r="I98" s="1038"/>
      <c r="J98" s="1038"/>
      <c r="K98" s="1038"/>
      <c r="L98" s="1038"/>
      <c r="M98" s="1038"/>
      <c r="N98" s="1038"/>
      <c r="O98" s="1038"/>
      <c r="P98" s="1038"/>
      <c r="Q98" s="1038"/>
      <c r="R98" s="1038"/>
      <c r="S98" s="1038"/>
      <c r="T98" s="1038"/>
      <c r="U98" s="1038"/>
      <c r="V98" s="1038"/>
      <c r="W98" s="1038"/>
      <c r="X98" s="1038"/>
      <c r="Y98" s="1038"/>
      <c r="Z98" s="1038"/>
      <c r="AA98" s="1038"/>
      <c r="AB98" s="1038"/>
      <c r="AC98" s="1038"/>
      <c r="AD98" s="1038"/>
      <c r="AE98" s="1038"/>
      <c r="AF98" s="1038"/>
      <c r="AG98" s="1038"/>
      <c r="AH98" s="90"/>
      <c r="AI98" s="1039" t="s">
        <v>174</v>
      </c>
      <c r="AJ98" s="1039"/>
      <c r="AK98" s="1039"/>
      <c r="AL98" s="1039"/>
      <c r="AM98" s="1039"/>
      <c r="AN98" s="1039"/>
      <c r="AO98" s="1039"/>
      <c r="AP98" s="1039"/>
      <c r="AQ98" s="1039"/>
      <c r="AR98" s="1039"/>
      <c r="AS98" s="1039"/>
      <c r="AT98" s="1040"/>
    </row>
    <row r="99" spans="1:46" ht="7.5" customHeight="1">
      <c r="A99" s="88"/>
      <c r="B99" s="1038"/>
      <c r="C99" s="1038"/>
      <c r="D99" s="1038"/>
      <c r="E99" s="1038"/>
      <c r="F99" s="1038"/>
      <c r="G99" s="1038"/>
      <c r="H99" s="1038"/>
      <c r="I99" s="1038"/>
      <c r="J99" s="1038"/>
      <c r="K99" s="1038"/>
      <c r="L99" s="1038"/>
      <c r="M99" s="1038"/>
      <c r="N99" s="1038"/>
      <c r="O99" s="1038"/>
      <c r="P99" s="1038"/>
      <c r="Q99" s="1038"/>
      <c r="R99" s="1038"/>
      <c r="S99" s="1038"/>
      <c r="T99" s="1038"/>
      <c r="U99" s="1038"/>
      <c r="V99" s="1038"/>
      <c r="W99" s="1038"/>
      <c r="X99" s="1038"/>
      <c r="Y99" s="1038"/>
      <c r="Z99" s="1038"/>
      <c r="AA99" s="1038"/>
      <c r="AB99" s="1038"/>
      <c r="AC99" s="1038"/>
      <c r="AD99" s="1038"/>
      <c r="AE99" s="1038"/>
      <c r="AF99" s="1038"/>
      <c r="AG99" s="1038"/>
      <c r="AH99" s="90"/>
      <c r="AI99" s="1039"/>
      <c r="AJ99" s="1039"/>
      <c r="AK99" s="1039"/>
      <c r="AL99" s="1039"/>
      <c r="AM99" s="1039"/>
      <c r="AN99" s="1039"/>
      <c r="AO99" s="1039"/>
      <c r="AP99" s="1039"/>
      <c r="AQ99" s="1039"/>
      <c r="AR99" s="1039"/>
      <c r="AS99" s="1039"/>
      <c r="AT99" s="1040"/>
    </row>
    <row r="100" spans="1:46" ht="7.5" customHeight="1">
      <c r="A100" s="88"/>
      <c r="B100" s="1038"/>
      <c r="C100" s="1038"/>
      <c r="D100" s="1038"/>
      <c r="E100" s="1038"/>
      <c r="F100" s="1038"/>
      <c r="G100" s="1038"/>
      <c r="H100" s="1038"/>
      <c r="I100" s="1038"/>
      <c r="J100" s="1038"/>
      <c r="K100" s="1038"/>
      <c r="L100" s="1038"/>
      <c r="M100" s="1038"/>
      <c r="N100" s="1038"/>
      <c r="O100" s="1038"/>
      <c r="P100" s="1038"/>
      <c r="Q100" s="1038"/>
      <c r="R100" s="1038"/>
      <c r="S100" s="1038"/>
      <c r="T100" s="1038"/>
      <c r="U100" s="1038"/>
      <c r="V100" s="1038"/>
      <c r="W100" s="1038"/>
      <c r="X100" s="1038"/>
      <c r="Y100" s="1038"/>
      <c r="Z100" s="1038"/>
      <c r="AA100" s="1038"/>
      <c r="AB100" s="1038"/>
      <c r="AC100" s="1038"/>
      <c r="AD100" s="1038"/>
      <c r="AE100" s="1038"/>
      <c r="AF100" s="1038"/>
      <c r="AG100" s="1038"/>
      <c r="AH100" s="90"/>
      <c r="AI100" s="1041"/>
      <c r="AJ100" s="1042"/>
      <c r="AK100" s="1042"/>
      <c r="AL100" s="1042"/>
      <c r="AM100" s="1042"/>
      <c r="AN100" s="1042"/>
      <c r="AO100" s="1042"/>
      <c r="AP100" s="1042"/>
      <c r="AQ100" s="1042"/>
      <c r="AR100" s="1042"/>
      <c r="AS100" s="1042"/>
      <c r="AT100" s="92"/>
    </row>
    <row r="101" spans="1:46" ht="7.5" customHeight="1">
      <c r="A101" s="88"/>
      <c r="B101" s="1038"/>
      <c r="C101" s="1038"/>
      <c r="D101" s="1038"/>
      <c r="E101" s="1038"/>
      <c r="F101" s="1038"/>
      <c r="G101" s="1038"/>
      <c r="H101" s="1038"/>
      <c r="I101" s="1038"/>
      <c r="J101" s="1038"/>
      <c r="K101" s="1038"/>
      <c r="L101" s="1038"/>
      <c r="M101" s="1038"/>
      <c r="N101" s="1038"/>
      <c r="O101" s="1038"/>
      <c r="P101" s="1038"/>
      <c r="Q101" s="1038"/>
      <c r="R101" s="1038"/>
      <c r="S101" s="1038"/>
      <c r="T101" s="1038"/>
      <c r="U101" s="1038"/>
      <c r="V101" s="1038"/>
      <c r="W101" s="1038"/>
      <c r="X101" s="1038"/>
      <c r="Y101" s="1038"/>
      <c r="Z101" s="1038"/>
      <c r="AA101" s="1038"/>
      <c r="AB101" s="1038"/>
      <c r="AC101" s="1038"/>
      <c r="AD101" s="1038"/>
      <c r="AE101" s="1038"/>
      <c r="AF101" s="1038"/>
      <c r="AG101" s="1038"/>
      <c r="AH101" s="90"/>
      <c r="AI101" s="1042"/>
      <c r="AJ101" s="1042"/>
      <c r="AK101" s="1042"/>
      <c r="AL101" s="1042"/>
      <c r="AM101" s="1042"/>
      <c r="AN101" s="1042"/>
      <c r="AO101" s="1042"/>
      <c r="AP101" s="1042"/>
      <c r="AQ101" s="1042"/>
      <c r="AR101" s="1042"/>
      <c r="AS101" s="1042"/>
      <c r="AT101" s="92"/>
    </row>
    <row r="102" spans="1:46" ht="7.5" customHeight="1">
      <c r="A102" s="88"/>
      <c r="B102" s="1038"/>
      <c r="C102" s="1038"/>
      <c r="D102" s="1038"/>
      <c r="E102" s="1038"/>
      <c r="F102" s="1038"/>
      <c r="G102" s="1038"/>
      <c r="H102" s="1038"/>
      <c r="I102" s="1038"/>
      <c r="J102" s="1038"/>
      <c r="K102" s="1038"/>
      <c r="L102" s="1038"/>
      <c r="M102" s="1038"/>
      <c r="N102" s="1038"/>
      <c r="O102" s="1038"/>
      <c r="P102" s="1038"/>
      <c r="Q102" s="1038"/>
      <c r="R102" s="1038"/>
      <c r="S102" s="1038"/>
      <c r="T102" s="1038"/>
      <c r="U102" s="1038"/>
      <c r="V102" s="1038"/>
      <c r="W102" s="1038"/>
      <c r="X102" s="1038"/>
      <c r="Y102" s="1038"/>
      <c r="Z102" s="1038"/>
      <c r="AA102" s="1038"/>
      <c r="AB102" s="1038"/>
      <c r="AC102" s="1038"/>
      <c r="AD102" s="1038"/>
      <c r="AE102" s="1038"/>
      <c r="AF102" s="1038"/>
      <c r="AG102" s="1038"/>
      <c r="AH102" s="90"/>
      <c r="AI102" s="1043"/>
      <c r="AJ102" s="1043"/>
      <c r="AK102" s="1043"/>
      <c r="AL102" s="1043"/>
      <c r="AM102" s="1043"/>
      <c r="AN102" s="1043"/>
      <c r="AO102" s="1043"/>
      <c r="AP102" s="1043"/>
      <c r="AQ102" s="1043"/>
      <c r="AR102" s="1043"/>
      <c r="AS102" s="1043"/>
      <c r="AT102" s="92"/>
    </row>
    <row r="103" spans="1:46" ht="7.5" customHeight="1" thickBot="1">
      <c r="A103" s="88"/>
      <c r="B103" s="1038"/>
      <c r="C103" s="1038"/>
      <c r="D103" s="1038"/>
      <c r="E103" s="1038"/>
      <c r="F103" s="1038"/>
      <c r="G103" s="1038"/>
      <c r="H103" s="1038"/>
      <c r="I103" s="1038"/>
      <c r="J103" s="1038"/>
      <c r="K103" s="1038"/>
      <c r="L103" s="1038"/>
      <c r="M103" s="1038"/>
      <c r="N103" s="1038"/>
      <c r="O103" s="1038"/>
      <c r="P103" s="1038"/>
      <c r="Q103" s="1038"/>
      <c r="R103" s="1038"/>
      <c r="S103" s="1038"/>
      <c r="T103" s="1038"/>
      <c r="U103" s="1038"/>
      <c r="V103" s="1038"/>
      <c r="W103" s="1038"/>
      <c r="X103" s="1038"/>
      <c r="Y103" s="1038"/>
      <c r="Z103" s="1038"/>
      <c r="AA103" s="1038"/>
      <c r="AB103" s="1038"/>
      <c r="AC103" s="1038"/>
      <c r="AD103" s="1038"/>
      <c r="AE103" s="1038"/>
      <c r="AF103" s="1038"/>
      <c r="AG103" s="1038"/>
      <c r="AH103" s="90"/>
      <c r="AI103" s="90"/>
      <c r="AJ103" s="90"/>
      <c r="AK103" s="90"/>
      <c r="AL103" s="90"/>
      <c r="AM103" s="90"/>
      <c r="AN103" s="90"/>
      <c r="AO103" s="90"/>
      <c r="AP103" s="90"/>
      <c r="AQ103" s="90"/>
      <c r="AR103" s="90"/>
      <c r="AS103" s="90"/>
      <c r="AT103" s="92"/>
    </row>
    <row r="104" spans="1:46" ht="7.5" customHeight="1">
      <c r="A104" s="88"/>
      <c r="B104" s="1013" t="s">
        <v>168</v>
      </c>
      <c r="C104" s="1013"/>
      <c r="D104" s="1013"/>
      <c r="E104" s="1013"/>
      <c r="F104" s="1013"/>
      <c r="G104" s="90"/>
      <c r="H104" s="90"/>
      <c r="I104" s="90"/>
      <c r="J104" s="90"/>
      <c r="K104" s="90"/>
      <c r="L104" s="1013" t="s">
        <v>169</v>
      </c>
      <c r="M104" s="1013"/>
      <c r="N104" s="1013"/>
      <c r="O104" s="1013"/>
      <c r="P104" s="1013"/>
      <c r="Q104" s="90"/>
      <c r="R104" s="90"/>
      <c r="S104" s="90"/>
      <c r="T104" s="90"/>
      <c r="U104" s="90"/>
      <c r="V104" s="1013" t="s">
        <v>175</v>
      </c>
      <c r="W104" s="1013"/>
      <c r="X104" s="1013"/>
      <c r="Y104" s="1013"/>
      <c r="Z104" s="1013"/>
      <c r="AA104" s="1013"/>
      <c r="AB104" s="1013"/>
      <c r="AC104" s="1013"/>
      <c r="AD104" s="1013"/>
      <c r="AE104" s="1013"/>
      <c r="AF104" s="1013"/>
      <c r="AG104" s="1013"/>
      <c r="AH104" s="90"/>
      <c r="AI104" s="1013" t="s">
        <v>172</v>
      </c>
      <c r="AJ104" s="1013"/>
      <c r="AK104" s="1013"/>
      <c r="AL104" s="1013"/>
      <c r="AM104" s="1013"/>
      <c r="AN104" s="1013"/>
      <c r="AO104" s="1013"/>
      <c r="AP104" s="1013"/>
      <c r="AQ104" s="1027"/>
      <c r="AR104" s="1028"/>
      <c r="AT104" s="92"/>
    </row>
    <row r="105" spans="1:46" ht="7.5" customHeight="1" thickBot="1">
      <c r="A105" s="88"/>
      <c r="B105" s="1013"/>
      <c r="C105" s="1013"/>
      <c r="D105" s="1013"/>
      <c r="E105" s="1013"/>
      <c r="F105" s="1013"/>
      <c r="G105" s="90"/>
      <c r="H105" s="90"/>
      <c r="I105" s="90"/>
      <c r="J105" s="90"/>
      <c r="K105" s="90"/>
      <c r="L105" s="1013"/>
      <c r="M105" s="1013"/>
      <c r="N105" s="1013"/>
      <c r="O105" s="1013"/>
      <c r="P105" s="1013"/>
      <c r="Q105" s="90"/>
      <c r="R105" s="90"/>
      <c r="S105" s="90"/>
      <c r="T105" s="90"/>
      <c r="U105" s="90"/>
      <c r="V105" s="1013"/>
      <c r="W105" s="1013"/>
      <c r="X105" s="1013"/>
      <c r="Y105" s="1013"/>
      <c r="Z105" s="1013"/>
      <c r="AA105" s="1013"/>
      <c r="AB105" s="1013"/>
      <c r="AC105" s="1013"/>
      <c r="AD105" s="1013"/>
      <c r="AE105" s="1013"/>
      <c r="AF105" s="1013"/>
      <c r="AG105" s="1013"/>
      <c r="AH105" s="90"/>
      <c r="AI105" s="1013"/>
      <c r="AJ105" s="1013"/>
      <c r="AK105" s="1013"/>
      <c r="AL105" s="1013"/>
      <c r="AM105" s="1013"/>
      <c r="AN105" s="1013"/>
      <c r="AO105" s="1013"/>
      <c r="AP105" s="1013"/>
      <c r="AQ105" s="1027"/>
      <c r="AR105" s="1029"/>
      <c r="AT105" s="92"/>
    </row>
    <row r="106" spans="1:46" ht="7.5" customHeight="1">
      <c r="A106" s="88"/>
      <c r="B106" s="1024"/>
      <c r="C106" s="598"/>
      <c r="D106" s="598"/>
      <c r="E106" s="598"/>
      <c r="F106" s="598"/>
      <c r="G106" s="598"/>
      <c r="H106" s="598"/>
      <c r="I106" s="598"/>
      <c r="J106" s="598"/>
      <c r="K106" s="598"/>
      <c r="L106" s="1025"/>
      <c r="M106" s="1025"/>
      <c r="N106" s="1025"/>
      <c r="O106" s="1025"/>
      <c r="P106" s="1025"/>
      <c r="Q106" s="1025"/>
      <c r="R106" s="1025"/>
      <c r="S106" s="1025"/>
      <c r="T106" s="1025"/>
      <c r="U106" s="1025"/>
      <c r="V106" s="598"/>
      <c r="W106" s="598"/>
      <c r="X106" s="598"/>
      <c r="Y106" s="598"/>
      <c r="Z106" s="598"/>
      <c r="AA106" s="598"/>
      <c r="AB106" s="598"/>
      <c r="AC106" s="598"/>
      <c r="AD106" s="598"/>
      <c r="AE106" s="598"/>
      <c r="AF106" s="598"/>
      <c r="AG106" s="598"/>
      <c r="AH106" s="90"/>
      <c r="AI106" s="90"/>
      <c r="AJ106" s="90"/>
      <c r="AK106" s="90"/>
      <c r="AL106" s="90"/>
      <c r="AM106" s="90"/>
      <c r="AN106" s="90"/>
      <c r="AO106" s="90"/>
      <c r="AP106" s="90"/>
      <c r="AQ106" s="90"/>
      <c r="AR106" s="90"/>
      <c r="AS106" s="90"/>
      <c r="AT106" s="92"/>
    </row>
    <row r="107" spans="1:46" ht="7.5" customHeight="1">
      <c r="A107" s="88"/>
      <c r="B107" s="598"/>
      <c r="C107" s="598"/>
      <c r="D107" s="598"/>
      <c r="E107" s="598"/>
      <c r="F107" s="598"/>
      <c r="G107" s="598"/>
      <c r="H107" s="598"/>
      <c r="I107" s="598"/>
      <c r="J107" s="598"/>
      <c r="K107" s="598"/>
      <c r="L107" s="1025"/>
      <c r="M107" s="1025"/>
      <c r="N107" s="1025"/>
      <c r="O107" s="1025"/>
      <c r="P107" s="1025"/>
      <c r="Q107" s="1025"/>
      <c r="R107" s="1025"/>
      <c r="S107" s="1025"/>
      <c r="T107" s="1025"/>
      <c r="U107" s="1025"/>
      <c r="V107" s="598"/>
      <c r="W107" s="598"/>
      <c r="X107" s="598"/>
      <c r="Y107" s="598"/>
      <c r="Z107" s="598"/>
      <c r="AA107" s="598"/>
      <c r="AB107" s="598"/>
      <c r="AC107" s="598"/>
      <c r="AD107" s="598"/>
      <c r="AE107" s="598"/>
      <c r="AF107" s="598"/>
      <c r="AG107" s="598"/>
      <c r="AH107" s="90"/>
      <c r="AI107" s="1013" t="s">
        <v>176</v>
      </c>
      <c r="AJ107" s="1013"/>
      <c r="AK107" s="1013"/>
      <c r="AL107" s="1013"/>
      <c r="AM107" s="1013"/>
      <c r="AN107" s="1013"/>
      <c r="AO107" s="1013"/>
      <c r="AP107" s="1013"/>
      <c r="AQ107" s="1013"/>
      <c r="AR107" s="1013"/>
      <c r="AS107" s="1013"/>
      <c r="AT107" s="92"/>
    </row>
    <row r="108" spans="1:46" ht="7.5" customHeight="1">
      <c r="A108" s="88"/>
      <c r="B108" s="1017"/>
      <c r="C108" s="1017"/>
      <c r="D108" s="1017"/>
      <c r="E108" s="1017"/>
      <c r="F108" s="1017"/>
      <c r="G108" s="1017"/>
      <c r="H108" s="1017"/>
      <c r="I108" s="1017"/>
      <c r="J108" s="1017"/>
      <c r="K108" s="1017"/>
      <c r="L108" s="1026"/>
      <c r="M108" s="1026"/>
      <c r="N108" s="1026"/>
      <c r="O108" s="1026"/>
      <c r="P108" s="1026"/>
      <c r="Q108" s="1026"/>
      <c r="R108" s="1026"/>
      <c r="S108" s="1026"/>
      <c r="T108" s="1026"/>
      <c r="U108" s="1026"/>
      <c r="V108" s="1017"/>
      <c r="W108" s="1017"/>
      <c r="X108" s="1017"/>
      <c r="Y108" s="1017"/>
      <c r="Z108" s="1017"/>
      <c r="AA108" s="1017"/>
      <c r="AB108" s="1017"/>
      <c r="AC108" s="1017"/>
      <c r="AD108" s="1017"/>
      <c r="AE108" s="1017"/>
      <c r="AF108" s="1017"/>
      <c r="AG108" s="1017"/>
      <c r="AH108" s="90"/>
      <c r="AI108" s="1032"/>
      <c r="AJ108" s="1032"/>
      <c r="AK108" s="1032"/>
      <c r="AL108" s="1032"/>
      <c r="AM108" s="1032"/>
      <c r="AN108" s="1032"/>
      <c r="AO108" s="1032"/>
      <c r="AP108" s="1032"/>
      <c r="AQ108" s="1032"/>
      <c r="AR108" s="1032"/>
      <c r="AS108" s="1032"/>
      <c r="AT108" s="92"/>
    </row>
    <row r="109" spans="1:46" ht="4.5" customHeight="1" thickBot="1">
      <c r="A109" s="93"/>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5"/>
    </row>
    <row r="110" spans="1:46" ht="6.75" customHeight="1">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8"/>
    </row>
    <row r="111" spans="1:46" ht="7.5" customHeight="1">
      <c r="A111" s="1030">
        <v>7</v>
      </c>
      <c r="B111" s="1031" t="s">
        <v>177</v>
      </c>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1"/>
      <c r="AA111" s="1031"/>
      <c r="AB111" s="1031"/>
      <c r="AC111" s="1031"/>
      <c r="AD111" s="1031"/>
      <c r="AE111" s="1031"/>
      <c r="AF111" s="1031"/>
      <c r="AG111" s="1031"/>
      <c r="AH111" s="1031"/>
      <c r="AI111" s="1031"/>
      <c r="AJ111" s="1031"/>
      <c r="AK111" s="1031"/>
      <c r="AL111" s="1031"/>
      <c r="AM111" s="1031"/>
      <c r="AN111" s="1031"/>
      <c r="AO111" s="1031"/>
      <c r="AP111" s="1031"/>
      <c r="AQ111" s="1031"/>
      <c r="AR111" s="1031"/>
      <c r="AS111" s="1031"/>
      <c r="AT111" s="1033"/>
    </row>
    <row r="112" spans="1:46" ht="7.5" customHeight="1">
      <c r="A112" s="1030"/>
      <c r="B112" s="1031"/>
      <c r="C112" s="1031"/>
      <c r="D112" s="1031"/>
      <c r="E112" s="1031"/>
      <c r="F112" s="1031"/>
      <c r="G112" s="1031"/>
      <c r="H112" s="1031"/>
      <c r="I112" s="1031"/>
      <c r="J112" s="1031"/>
      <c r="K112" s="1031"/>
      <c r="L112" s="1031"/>
      <c r="M112" s="1031"/>
      <c r="N112" s="1031"/>
      <c r="O112" s="1031"/>
      <c r="P112" s="1031"/>
      <c r="Q112" s="1031"/>
      <c r="R112" s="1031"/>
      <c r="S112" s="1031"/>
      <c r="T112" s="1031"/>
      <c r="U112" s="1031"/>
      <c r="V112" s="1031"/>
      <c r="W112" s="1031"/>
      <c r="X112" s="1031"/>
      <c r="Y112" s="1031"/>
      <c r="Z112" s="1031"/>
      <c r="AA112" s="1031"/>
      <c r="AB112" s="1031"/>
      <c r="AC112" s="1031"/>
      <c r="AD112" s="1031"/>
      <c r="AE112" s="1031"/>
      <c r="AF112" s="1031"/>
      <c r="AG112" s="1031"/>
      <c r="AH112" s="1031"/>
      <c r="AI112" s="1031"/>
      <c r="AJ112" s="1031"/>
      <c r="AK112" s="1031"/>
      <c r="AL112" s="1031"/>
      <c r="AM112" s="1031"/>
      <c r="AN112" s="1031"/>
      <c r="AO112" s="1031"/>
      <c r="AP112" s="1031"/>
      <c r="AQ112" s="1031"/>
      <c r="AR112" s="1031"/>
      <c r="AS112" s="1031"/>
      <c r="AT112" s="1033"/>
    </row>
    <row r="113" spans="1:46" ht="6.75" customHeight="1">
      <c r="A113" s="170"/>
      <c r="B113" s="1034" t="s">
        <v>994</v>
      </c>
      <c r="C113" s="1034"/>
      <c r="D113" s="1034"/>
      <c r="E113" s="1034"/>
      <c r="F113" s="1034"/>
      <c r="G113" s="1034"/>
      <c r="H113" s="1034"/>
      <c r="I113" s="1034"/>
      <c r="J113" s="1034"/>
      <c r="K113" s="1034"/>
      <c r="L113" s="1034"/>
      <c r="M113" s="1034"/>
      <c r="N113" s="1034"/>
      <c r="O113" s="1034"/>
      <c r="P113" s="1034"/>
      <c r="Q113" s="1034"/>
      <c r="R113" s="1034"/>
      <c r="S113" s="1034"/>
      <c r="T113" s="1034"/>
      <c r="U113" s="1034"/>
      <c r="V113" s="1034"/>
      <c r="W113" s="1034"/>
      <c r="X113" s="1034"/>
      <c r="Y113" s="1034"/>
      <c r="Z113" s="1034"/>
      <c r="AA113" s="1034"/>
      <c r="AB113" s="1034"/>
      <c r="AC113" s="1034"/>
      <c r="AD113" s="1034"/>
      <c r="AE113" s="1034"/>
      <c r="AF113" s="1034"/>
      <c r="AG113" s="1034"/>
      <c r="AH113" s="1034"/>
      <c r="AI113" s="1034"/>
      <c r="AJ113" s="1034"/>
      <c r="AK113" s="1034"/>
      <c r="AL113" s="1034"/>
      <c r="AM113" s="1034"/>
      <c r="AN113" s="1034"/>
      <c r="AO113" s="1034"/>
      <c r="AP113" s="1034"/>
      <c r="AQ113" s="1034"/>
      <c r="AR113" s="1034"/>
      <c r="AS113" s="1034"/>
      <c r="AT113" s="1035"/>
    </row>
    <row r="114" spans="1:46" ht="6.75" customHeight="1">
      <c r="A114" s="88"/>
      <c r="B114" s="1034"/>
      <c r="C114" s="1034"/>
      <c r="D114" s="1034"/>
      <c r="E114" s="1034"/>
      <c r="F114" s="1034"/>
      <c r="G114" s="1034"/>
      <c r="H114" s="1034"/>
      <c r="I114" s="1034"/>
      <c r="J114" s="1034"/>
      <c r="K114" s="1034"/>
      <c r="L114" s="1034"/>
      <c r="M114" s="1034"/>
      <c r="N114" s="1034"/>
      <c r="O114" s="1034"/>
      <c r="P114" s="1034"/>
      <c r="Q114" s="1034"/>
      <c r="R114" s="1034"/>
      <c r="S114" s="1034"/>
      <c r="T114" s="1034"/>
      <c r="U114" s="1034"/>
      <c r="V114" s="1034"/>
      <c r="W114" s="1034"/>
      <c r="X114" s="1034"/>
      <c r="Y114" s="1034"/>
      <c r="Z114" s="1034"/>
      <c r="AA114" s="1034"/>
      <c r="AB114" s="1034"/>
      <c r="AC114" s="1034"/>
      <c r="AD114" s="1034"/>
      <c r="AE114" s="1034"/>
      <c r="AF114" s="1034"/>
      <c r="AG114" s="1034"/>
      <c r="AH114" s="1034"/>
      <c r="AI114" s="1034"/>
      <c r="AJ114" s="1034"/>
      <c r="AK114" s="1034"/>
      <c r="AL114" s="1034"/>
      <c r="AM114" s="1034"/>
      <c r="AN114" s="1034"/>
      <c r="AO114" s="1034"/>
      <c r="AP114" s="1034"/>
      <c r="AQ114" s="1034"/>
      <c r="AR114" s="1034"/>
      <c r="AS114" s="1034"/>
      <c r="AT114" s="1035"/>
    </row>
    <row r="115" spans="1:46" ht="7.5" customHeight="1">
      <c r="A115" s="88"/>
      <c r="B115" s="1013" t="s">
        <v>168</v>
      </c>
      <c r="C115" s="1013"/>
      <c r="D115" s="1013"/>
      <c r="E115" s="1013"/>
      <c r="F115" s="1013"/>
      <c r="G115" s="90"/>
      <c r="H115" s="90"/>
      <c r="I115" s="90"/>
      <c r="J115" s="90"/>
      <c r="K115" s="90"/>
      <c r="L115" s="1013" t="s">
        <v>169</v>
      </c>
      <c r="M115" s="1013"/>
      <c r="N115" s="1013"/>
      <c r="O115" s="1013"/>
      <c r="P115" s="1013"/>
      <c r="Q115" s="90"/>
      <c r="R115" s="90"/>
      <c r="S115" s="90"/>
      <c r="T115" s="90"/>
      <c r="U115" s="90"/>
      <c r="V115" s="1013" t="s">
        <v>135</v>
      </c>
      <c r="W115" s="1013"/>
      <c r="X115" s="1013"/>
      <c r="Y115" s="1013"/>
      <c r="Z115" s="1013"/>
      <c r="AA115" s="1013"/>
      <c r="AB115" s="90"/>
      <c r="AC115" s="90"/>
      <c r="AD115" s="90"/>
      <c r="AE115" s="90"/>
      <c r="AF115" s="90"/>
      <c r="AG115" s="90"/>
      <c r="AH115" s="90"/>
      <c r="AI115" s="1013" t="s">
        <v>134</v>
      </c>
      <c r="AJ115" s="1013"/>
      <c r="AK115" s="1013"/>
      <c r="AL115" s="1013"/>
      <c r="AM115" s="1013"/>
      <c r="AN115" s="1013"/>
      <c r="AO115" s="90"/>
      <c r="AP115" s="90"/>
      <c r="AQ115" s="90"/>
      <c r="AR115" s="90"/>
      <c r="AS115" s="90"/>
      <c r="AT115" s="92"/>
    </row>
    <row r="116" spans="1:46" ht="7.5" customHeight="1">
      <c r="A116" s="88"/>
      <c r="B116" s="1013"/>
      <c r="C116" s="1013"/>
      <c r="D116" s="1013"/>
      <c r="E116" s="1013"/>
      <c r="F116" s="1013"/>
      <c r="G116" s="90"/>
      <c r="H116" s="90"/>
      <c r="I116" s="90"/>
      <c r="J116" s="90"/>
      <c r="K116" s="90"/>
      <c r="L116" s="1013"/>
      <c r="M116" s="1013"/>
      <c r="N116" s="1013"/>
      <c r="O116" s="1013"/>
      <c r="P116" s="1013"/>
      <c r="Q116" s="90"/>
      <c r="R116" s="90"/>
      <c r="S116" s="90"/>
      <c r="T116" s="90"/>
      <c r="U116" s="90"/>
      <c r="V116" s="1013"/>
      <c r="W116" s="1013"/>
      <c r="X116" s="1013"/>
      <c r="Y116" s="1013"/>
      <c r="Z116" s="1013"/>
      <c r="AA116" s="1013"/>
      <c r="AB116" s="90"/>
      <c r="AC116" s="90"/>
      <c r="AD116" s="90"/>
      <c r="AE116" s="90"/>
      <c r="AF116" s="90"/>
      <c r="AG116" s="90"/>
      <c r="AH116" s="90"/>
      <c r="AI116" s="1013"/>
      <c r="AJ116" s="1013"/>
      <c r="AK116" s="1013"/>
      <c r="AL116" s="1013"/>
      <c r="AM116" s="1013"/>
      <c r="AN116" s="1013"/>
      <c r="AO116" s="90"/>
      <c r="AP116" s="90"/>
      <c r="AQ116" s="90"/>
      <c r="AR116" s="90"/>
      <c r="AS116" s="90"/>
      <c r="AT116" s="92"/>
    </row>
    <row r="117" spans="1:46" ht="7.5" customHeight="1" thickBot="1">
      <c r="A117" s="88"/>
      <c r="B117" s="1024"/>
      <c r="C117" s="598"/>
      <c r="D117" s="598"/>
      <c r="E117" s="598"/>
      <c r="F117" s="598"/>
      <c r="G117" s="598"/>
      <c r="H117" s="598"/>
      <c r="I117" s="598"/>
      <c r="J117" s="598"/>
      <c r="K117" s="598"/>
      <c r="L117" s="1025"/>
      <c r="M117" s="1025"/>
      <c r="N117" s="1025"/>
      <c r="O117" s="1025"/>
      <c r="P117" s="1025"/>
      <c r="Q117" s="1025"/>
      <c r="R117" s="1025"/>
      <c r="S117" s="1025"/>
      <c r="T117" s="1025"/>
      <c r="U117" s="1025"/>
      <c r="V117" s="598"/>
      <c r="W117" s="598"/>
      <c r="X117" s="598"/>
      <c r="Y117" s="598"/>
      <c r="Z117" s="598"/>
      <c r="AA117" s="598"/>
      <c r="AB117" s="598"/>
      <c r="AC117" s="598"/>
      <c r="AD117" s="598"/>
      <c r="AE117" s="598"/>
      <c r="AF117" s="598"/>
      <c r="AG117" s="598"/>
      <c r="AH117" s="90"/>
      <c r="AI117" s="90"/>
      <c r="AJ117" s="90"/>
      <c r="AK117" s="90"/>
      <c r="AL117" s="90"/>
      <c r="AM117" s="90"/>
      <c r="AN117" s="90"/>
      <c r="AO117" s="90"/>
      <c r="AP117" s="90"/>
      <c r="AQ117" s="90"/>
      <c r="AR117" s="90"/>
      <c r="AS117" s="90"/>
      <c r="AT117" s="92"/>
    </row>
    <row r="118" spans="1:46" ht="7.5" customHeight="1">
      <c r="A118" s="88"/>
      <c r="B118" s="598"/>
      <c r="C118" s="598"/>
      <c r="D118" s="598"/>
      <c r="E118" s="598"/>
      <c r="F118" s="598"/>
      <c r="G118" s="598"/>
      <c r="H118" s="598"/>
      <c r="I118" s="598"/>
      <c r="J118" s="598"/>
      <c r="K118" s="598"/>
      <c r="L118" s="1025"/>
      <c r="M118" s="1025"/>
      <c r="N118" s="1025"/>
      <c r="O118" s="1025"/>
      <c r="P118" s="1025"/>
      <c r="Q118" s="1025"/>
      <c r="R118" s="1025"/>
      <c r="S118" s="1025"/>
      <c r="T118" s="1025"/>
      <c r="U118" s="1025"/>
      <c r="V118" s="598"/>
      <c r="W118" s="598"/>
      <c r="X118" s="598"/>
      <c r="Y118" s="598"/>
      <c r="Z118" s="598"/>
      <c r="AA118" s="598"/>
      <c r="AB118" s="598"/>
      <c r="AC118" s="598"/>
      <c r="AD118" s="598"/>
      <c r="AE118" s="598"/>
      <c r="AF118" s="598"/>
      <c r="AG118" s="598"/>
      <c r="AH118" s="90"/>
      <c r="AI118" s="1013" t="s">
        <v>178</v>
      </c>
      <c r="AJ118" s="1013"/>
      <c r="AK118" s="1013"/>
      <c r="AL118" s="1013"/>
      <c r="AM118" s="1027"/>
      <c r="AN118" s="1028"/>
      <c r="AO118" s="90"/>
      <c r="AP118" s="90"/>
      <c r="AQ118" s="90"/>
      <c r="AR118" s="90"/>
      <c r="AS118" s="90"/>
      <c r="AT118" s="92"/>
    </row>
    <row r="119" spans="1:46" ht="7.5" customHeight="1" thickBot="1">
      <c r="A119" s="88"/>
      <c r="B119" s="1017"/>
      <c r="C119" s="1017"/>
      <c r="D119" s="1017"/>
      <c r="E119" s="1017"/>
      <c r="F119" s="1017"/>
      <c r="G119" s="1017"/>
      <c r="H119" s="1017"/>
      <c r="I119" s="1017"/>
      <c r="J119" s="1017"/>
      <c r="K119" s="1017"/>
      <c r="L119" s="1026"/>
      <c r="M119" s="1026"/>
      <c r="N119" s="1026"/>
      <c r="O119" s="1026"/>
      <c r="P119" s="1026"/>
      <c r="Q119" s="1026"/>
      <c r="R119" s="1026"/>
      <c r="S119" s="1026"/>
      <c r="T119" s="1026"/>
      <c r="U119" s="1026"/>
      <c r="V119" s="1017"/>
      <c r="W119" s="1017"/>
      <c r="X119" s="1017"/>
      <c r="Y119" s="1017"/>
      <c r="Z119" s="1017"/>
      <c r="AA119" s="1017"/>
      <c r="AB119" s="1017"/>
      <c r="AC119" s="1017"/>
      <c r="AD119" s="1017"/>
      <c r="AE119" s="1017"/>
      <c r="AF119" s="1017"/>
      <c r="AG119" s="1017"/>
      <c r="AH119" s="90"/>
      <c r="AI119" s="1013"/>
      <c r="AJ119" s="1013"/>
      <c r="AK119" s="1013"/>
      <c r="AL119" s="1013"/>
      <c r="AM119" s="1027"/>
      <c r="AN119" s="1029"/>
      <c r="AO119" s="90"/>
      <c r="AP119" s="90"/>
      <c r="AQ119" s="90"/>
      <c r="AR119" s="90"/>
      <c r="AS119" s="90"/>
      <c r="AT119" s="92"/>
    </row>
    <row r="120" spans="1:46" ht="4.5" customHeight="1" thickBot="1">
      <c r="A120" s="93"/>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5"/>
    </row>
    <row r="121" spans="1:46" ht="6.75" customHeight="1">
      <c r="A121" s="96"/>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8"/>
    </row>
    <row r="122" spans="1:46" ht="7.5" customHeight="1">
      <c r="A122" s="1030">
        <v>8</v>
      </c>
      <c r="B122" s="1031" t="s">
        <v>179</v>
      </c>
      <c r="C122" s="1031"/>
      <c r="D122" s="1031"/>
      <c r="E122" s="1031"/>
      <c r="F122" s="1031"/>
      <c r="G122" s="1031"/>
      <c r="H122" s="1031"/>
      <c r="I122" s="1031"/>
      <c r="J122" s="1031"/>
      <c r="K122" s="1031"/>
      <c r="L122" s="1031"/>
      <c r="M122" s="1031"/>
      <c r="N122" s="1031"/>
      <c r="O122" s="1031"/>
      <c r="P122" s="1031"/>
      <c r="Q122" s="1031"/>
      <c r="R122" s="1031"/>
      <c r="S122" s="1031"/>
      <c r="T122" s="1031"/>
      <c r="U122" s="1031"/>
      <c r="V122" s="1031"/>
      <c r="W122" s="1031"/>
      <c r="X122" s="1031"/>
      <c r="Y122" s="1031"/>
      <c r="Z122" s="1031"/>
      <c r="AA122" s="1031"/>
      <c r="AB122" s="1031"/>
      <c r="AC122" s="1031"/>
      <c r="AD122" s="90"/>
      <c r="AE122" s="90"/>
      <c r="AF122" s="1013" t="s">
        <v>176</v>
      </c>
      <c r="AG122" s="1013"/>
      <c r="AH122" s="1013"/>
      <c r="AI122" s="1013"/>
      <c r="AJ122" s="1013"/>
      <c r="AK122" s="1013"/>
      <c r="AL122" s="1013"/>
      <c r="AM122" s="1013"/>
      <c r="AN122" s="1013"/>
      <c r="AO122" s="1013"/>
      <c r="AP122" s="1013"/>
      <c r="AQ122" s="1013"/>
      <c r="AR122" s="1013"/>
      <c r="AS122" s="1013"/>
      <c r="AT122" s="92"/>
    </row>
    <row r="123" spans="1:46" ht="7.5" customHeight="1">
      <c r="A123" s="1030"/>
      <c r="B123" s="1031"/>
      <c r="C123" s="1031"/>
      <c r="D123" s="1031"/>
      <c r="E123" s="1031"/>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90"/>
      <c r="AE123" s="90"/>
      <c r="AF123" s="1032"/>
      <c r="AG123" s="1032"/>
      <c r="AH123" s="1032"/>
      <c r="AI123" s="1032"/>
      <c r="AJ123" s="1032"/>
      <c r="AK123" s="1032"/>
      <c r="AL123" s="1032"/>
      <c r="AM123" s="1032"/>
      <c r="AN123" s="1032"/>
      <c r="AO123" s="1032"/>
      <c r="AP123" s="1032"/>
      <c r="AQ123" s="1032"/>
      <c r="AR123" s="1032"/>
      <c r="AS123" s="1032"/>
      <c r="AT123" s="92"/>
    </row>
    <row r="124" spans="1:46" ht="7.5" customHeight="1">
      <c r="A124" s="170"/>
      <c r="B124" s="962" t="s">
        <v>695</v>
      </c>
      <c r="C124" s="963"/>
      <c r="D124" s="963"/>
      <c r="E124" s="963"/>
      <c r="F124" s="963"/>
      <c r="G124" s="963"/>
      <c r="H124" s="963"/>
      <c r="I124" s="963"/>
      <c r="J124" s="963"/>
      <c r="K124" s="963"/>
      <c r="L124" s="963"/>
      <c r="M124" s="963"/>
      <c r="N124" s="963"/>
      <c r="O124" s="964"/>
      <c r="P124" s="968" t="s">
        <v>696</v>
      </c>
      <c r="Q124" s="969"/>
      <c r="R124" s="969"/>
      <c r="S124" s="969"/>
      <c r="T124" s="969"/>
      <c r="U124" s="969"/>
      <c r="V124" s="969"/>
      <c r="W124" s="969"/>
      <c r="X124" s="969"/>
      <c r="Y124" s="969"/>
      <c r="Z124" s="969"/>
      <c r="AA124" s="969"/>
      <c r="AB124" s="970"/>
      <c r="AD124" s="90"/>
      <c r="AE124" s="90"/>
      <c r="AT124" s="92"/>
    </row>
    <row r="125" spans="1:46" ht="7.5" customHeight="1">
      <c r="A125" s="88"/>
      <c r="B125" s="965"/>
      <c r="C125" s="966"/>
      <c r="D125" s="966"/>
      <c r="E125" s="966"/>
      <c r="F125" s="966"/>
      <c r="G125" s="966"/>
      <c r="H125" s="966"/>
      <c r="I125" s="966"/>
      <c r="J125" s="966"/>
      <c r="K125" s="966"/>
      <c r="L125" s="966"/>
      <c r="M125" s="966"/>
      <c r="N125" s="966"/>
      <c r="O125" s="967"/>
      <c r="P125" s="971"/>
      <c r="Q125" s="972"/>
      <c r="R125" s="972"/>
      <c r="S125" s="972"/>
      <c r="T125" s="972"/>
      <c r="U125" s="972"/>
      <c r="V125" s="972"/>
      <c r="W125" s="972"/>
      <c r="X125" s="972"/>
      <c r="Y125" s="972"/>
      <c r="Z125" s="972"/>
      <c r="AA125" s="972"/>
      <c r="AB125" s="973"/>
      <c r="AC125" s="89"/>
      <c r="AD125" s="89"/>
      <c r="AE125" s="90"/>
      <c r="AT125" s="92"/>
    </row>
    <row r="126" spans="1:46" ht="7.5" customHeight="1">
      <c r="A126" s="88"/>
      <c r="B126" s="974"/>
      <c r="C126" s="974"/>
      <c r="D126" s="974"/>
      <c r="E126" s="974"/>
      <c r="F126" s="974"/>
      <c r="G126" s="974"/>
      <c r="H126" s="974"/>
      <c r="I126" s="974"/>
      <c r="J126" s="974"/>
      <c r="K126" s="974"/>
      <c r="L126" s="974" t="s">
        <v>24</v>
      </c>
      <c r="M126" s="974"/>
      <c r="N126" s="974"/>
      <c r="O126" s="974"/>
      <c r="P126" s="974"/>
      <c r="Q126" s="974"/>
      <c r="R126" s="974"/>
      <c r="S126" s="974"/>
      <c r="T126" s="974"/>
      <c r="U126" s="974"/>
      <c r="V126" s="974"/>
      <c r="W126" s="974"/>
      <c r="X126" s="974"/>
      <c r="Y126" s="974" t="s">
        <v>165</v>
      </c>
      <c r="Z126" s="974"/>
      <c r="AA126" s="974"/>
      <c r="AB126" s="974"/>
      <c r="AC126" s="89"/>
      <c r="AD126" s="89"/>
      <c r="AE126" s="90"/>
      <c r="AR126" s="91"/>
      <c r="AS126" s="91"/>
      <c r="AT126" s="92"/>
    </row>
    <row r="127" spans="1:46" ht="7.5" customHeight="1">
      <c r="A127" s="88"/>
      <c r="B127" s="974"/>
      <c r="C127" s="974"/>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4"/>
      <c r="AA127" s="974"/>
      <c r="AB127" s="974"/>
      <c r="AC127" s="436"/>
      <c r="AD127" s="436"/>
      <c r="AE127" s="90"/>
      <c r="AR127" s="91"/>
      <c r="AS127" s="91"/>
      <c r="AT127" s="92"/>
    </row>
    <row r="128" spans="1:46" ht="7.5" customHeight="1">
      <c r="A128" s="88"/>
      <c r="B128" s="974"/>
      <c r="C128" s="974"/>
      <c r="D128" s="974"/>
      <c r="E128" s="974"/>
      <c r="F128" s="974"/>
      <c r="G128" s="974"/>
      <c r="H128" s="974"/>
      <c r="I128" s="974"/>
      <c r="J128" s="974"/>
      <c r="K128" s="974"/>
      <c r="L128" s="974"/>
      <c r="M128" s="974"/>
      <c r="N128" s="974"/>
      <c r="O128" s="974"/>
      <c r="P128" s="974"/>
      <c r="Q128" s="974"/>
      <c r="R128" s="974"/>
      <c r="S128" s="974"/>
      <c r="T128" s="974"/>
      <c r="U128" s="974"/>
      <c r="V128" s="974"/>
      <c r="W128" s="974"/>
      <c r="X128" s="974"/>
      <c r="Y128" s="974"/>
      <c r="Z128" s="974"/>
      <c r="AA128" s="974"/>
      <c r="AB128" s="974"/>
      <c r="AC128" s="436"/>
      <c r="AD128" s="436"/>
      <c r="AE128" s="90"/>
      <c r="AR128" s="91"/>
      <c r="AS128" s="91"/>
      <c r="AT128" s="92"/>
    </row>
    <row r="129" spans="1:46" ht="7.5" customHeight="1">
      <c r="A129" s="88"/>
      <c r="B129" s="435"/>
      <c r="C129" s="435"/>
      <c r="D129" s="435"/>
      <c r="E129" s="435"/>
      <c r="F129" s="435"/>
      <c r="G129" s="435"/>
      <c r="H129" s="435"/>
      <c r="I129" s="435"/>
      <c r="J129" s="435"/>
      <c r="K129" s="435"/>
      <c r="L129" s="435"/>
      <c r="M129" s="435"/>
      <c r="N129" s="436"/>
      <c r="O129" s="436"/>
      <c r="P129" s="436"/>
      <c r="Q129" s="436"/>
      <c r="R129" s="436"/>
      <c r="S129" s="436"/>
      <c r="T129" s="436"/>
      <c r="U129" s="436"/>
      <c r="V129" s="436"/>
      <c r="W129" s="436"/>
      <c r="X129" s="436"/>
      <c r="Y129" s="436"/>
      <c r="Z129" s="436"/>
      <c r="AA129" s="436"/>
      <c r="AB129" s="436"/>
      <c r="AC129" s="436"/>
      <c r="AD129" s="436"/>
      <c r="AE129" s="90"/>
      <c r="AF129" s="981"/>
      <c r="AG129" s="981"/>
      <c r="AH129" s="981"/>
      <c r="AI129" s="981"/>
      <c r="AJ129" s="981"/>
      <c r="AK129" s="981"/>
      <c r="AL129" s="981"/>
      <c r="AM129" s="981"/>
      <c r="AN129" s="981"/>
      <c r="AO129" s="981"/>
      <c r="AP129" s="981"/>
      <c r="AQ129" s="981"/>
      <c r="AR129" s="981"/>
      <c r="AS129" s="981"/>
      <c r="AT129" s="92"/>
    </row>
    <row r="130" spans="1:46" ht="7.5" customHeight="1">
      <c r="A130" s="88"/>
      <c r="B130" s="1013" t="s">
        <v>168</v>
      </c>
      <c r="C130" s="1013"/>
      <c r="D130" s="1013"/>
      <c r="E130" s="1013"/>
      <c r="F130" s="1013"/>
      <c r="G130" s="90"/>
      <c r="H130" s="90"/>
      <c r="I130" s="90"/>
      <c r="J130" s="90"/>
      <c r="K130" s="90"/>
      <c r="N130" s="1014" t="s">
        <v>169</v>
      </c>
      <c r="O130" s="1014"/>
      <c r="P130" s="1014"/>
      <c r="Q130" s="90"/>
      <c r="R130" s="90"/>
      <c r="S130" s="90"/>
      <c r="T130" s="90"/>
      <c r="U130" s="90"/>
      <c r="V130" s="102"/>
      <c r="W130" s="102"/>
      <c r="X130" s="102"/>
      <c r="Y130" s="102"/>
      <c r="Z130" s="102"/>
      <c r="AA130" s="102"/>
      <c r="AB130" s="90"/>
      <c r="AC130" s="90"/>
      <c r="AD130" s="90"/>
      <c r="AE130" s="90"/>
      <c r="AF130" s="981"/>
      <c r="AG130" s="981"/>
      <c r="AH130" s="981"/>
      <c r="AI130" s="981"/>
      <c r="AJ130" s="981"/>
      <c r="AK130" s="981"/>
      <c r="AL130" s="981"/>
      <c r="AM130" s="981"/>
      <c r="AN130" s="981"/>
      <c r="AO130" s="981"/>
      <c r="AP130" s="981"/>
      <c r="AQ130" s="981"/>
      <c r="AR130" s="981"/>
      <c r="AS130" s="981"/>
      <c r="AT130" s="92"/>
    </row>
    <row r="131" spans="1:46" ht="7.5" customHeight="1">
      <c r="A131" s="88"/>
      <c r="B131" s="1013"/>
      <c r="C131" s="1013"/>
      <c r="D131" s="1013"/>
      <c r="E131" s="1013"/>
      <c r="F131" s="1013"/>
      <c r="G131" s="90"/>
      <c r="H131" s="90"/>
      <c r="I131" s="90"/>
      <c r="J131" s="90"/>
      <c r="K131" s="90"/>
      <c r="L131" s="102"/>
      <c r="M131" s="102"/>
      <c r="N131" s="1014"/>
      <c r="O131" s="1014"/>
      <c r="P131" s="1014"/>
      <c r="Q131" s="90"/>
      <c r="R131" s="90"/>
      <c r="S131" s="90"/>
      <c r="T131" s="90"/>
      <c r="U131" s="90"/>
      <c r="V131" s="102"/>
      <c r="W131" s="102"/>
      <c r="X131" s="102"/>
      <c r="Y131" s="102"/>
      <c r="Z131" s="102"/>
      <c r="AA131" s="102"/>
      <c r="AB131" s="90"/>
      <c r="AC131" s="90"/>
      <c r="AD131" s="90"/>
      <c r="AE131" s="90"/>
      <c r="AF131" s="1012"/>
      <c r="AG131" s="1012"/>
      <c r="AH131" s="1012"/>
      <c r="AI131" s="1012"/>
      <c r="AJ131" s="1012"/>
      <c r="AK131" s="1012"/>
      <c r="AL131" s="1012"/>
      <c r="AM131" s="1012"/>
      <c r="AN131" s="1012"/>
      <c r="AO131" s="1012"/>
      <c r="AP131" s="1012"/>
      <c r="AQ131" s="1012"/>
      <c r="AR131" s="1012"/>
      <c r="AS131" s="1012"/>
      <c r="AT131" s="92"/>
    </row>
    <row r="132" spans="1:46" ht="7.5" customHeight="1">
      <c r="A132" s="88"/>
      <c r="B132" s="1015"/>
      <c r="C132" s="1016"/>
      <c r="D132" s="1016"/>
      <c r="E132" s="1016"/>
      <c r="F132" s="1016"/>
      <c r="G132" s="1016"/>
      <c r="H132" s="1016"/>
      <c r="I132" s="1016"/>
      <c r="J132" s="1016"/>
      <c r="K132" s="1016"/>
      <c r="L132" s="146"/>
      <c r="M132" s="147"/>
      <c r="N132" s="1018"/>
      <c r="O132" s="1018"/>
      <c r="P132" s="1018"/>
      <c r="Q132" s="1018"/>
      <c r="R132" s="1018"/>
      <c r="S132" s="1018"/>
      <c r="T132" s="1018"/>
      <c r="U132" s="1018"/>
      <c r="V132" s="1018"/>
      <c r="W132" s="1018"/>
      <c r="X132" s="103"/>
      <c r="Y132" s="103"/>
      <c r="Z132" s="103"/>
      <c r="AA132" s="103"/>
      <c r="AB132" s="103"/>
      <c r="AC132" s="103"/>
      <c r="AD132" s="91"/>
      <c r="AE132" s="90"/>
      <c r="AF132" s="1013" t="s">
        <v>175</v>
      </c>
      <c r="AG132" s="1013"/>
      <c r="AH132" s="1013"/>
      <c r="AI132" s="1013"/>
      <c r="AJ132" s="1013"/>
      <c r="AK132" s="1013"/>
      <c r="AL132" s="1013"/>
      <c r="AM132" s="1013"/>
      <c r="AN132" s="1013"/>
      <c r="AO132" s="1013"/>
      <c r="AP132" s="1013"/>
      <c r="AQ132" s="1013"/>
      <c r="AT132" s="92"/>
    </row>
    <row r="133" spans="1:46" ht="7.5" customHeight="1">
      <c r="A133" s="88"/>
      <c r="B133" s="1016"/>
      <c r="C133" s="1016"/>
      <c r="D133" s="1016"/>
      <c r="E133" s="1016"/>
      <c r="F133" s="1016"/>
      <c r="G133" s="1016"/>
      <c r="H133" s="1016"/>
      <c r="I133" s="1016"/>
      <c r="J133" s="1016"/>
      <c r="K133" s="1016"/>
      <c r="L133" s="147"/>
      <c r="M133" s="147"/>
      <c r="N133" s="1018"/>
      <c r="O133" s="1018"/>
      <c r="P133" s="1018"/>
      <c r="Q133" s="1018"/>
      <c r="R133" s="1018"/>
      <c r="S133" s="1018"/>
      <c r="T133" s="1018"/>
      <c r="U133" s="1018"/>
      <c r="V133" s="1018"/>
      <c r="W133" s="1018"/>
      <c r="X133" s="91"/>
      <c r="Y133" s="91"/>
      <c r="Z133" s="91"/>
      <c r="AA133" s="91"/>
      <c r="AB133" s="91"/>
      <c r="AC133" s="91"/>
      <c r="AD133" s="91"/>
      <c r="AE133" s="91"/>
      <c r="AF133" s="1013"/>
      <c r="AG133" s="1013"/>
      <c r="AH133" s="1013"/>
      <c r="AI133" s="1013"/>
      <c r="AJ133" s="1013"/>
      <c r="AK133" s="1013"/>
      <c r="AL133" s="1013"/>
      <c r="AM133" s="1013"/>
      <c r="AN133" s="1013"/>
      <c r="AO133" s="1013"/>
      <c r="AP133" s="1013"/>
      <c r="AQ133" s="1013"/>
      <c r="AT133" s="92"/>
    </row>
    <row r="134" spans="1:46" ht="3" customHeight="1">
      <c r="A134" s="88"/>
      <c r="B134" s="1017"/>
      <c r="C134" s="1017"/>
      <c r="D134" s="1017"/>
      <c r="E134" s="1017"/>
      <c r="F134" s="1017"/>
      <c r="G134" s="1017"/>
      <c r="H134" s="1017"/>
      <c r="I134" s="1017"/>
      <c r="J134" s="1017"/>
      <c r="K134" s="1017"/>
      <c r="L134" s="148"/>
      <c r="M134" s="148"/>
      <c r="N134" s="1019"/>
      <c r="O134" s="1019"/>
      <c r="P134" s="1019"/>
      <c r="Q134" s="1019"/>
      <c r="R134" s="1019"/>
      <c r="S134" s="1019"/>
      <c r="T134" s="1019"/>
      <c r="U134" s="1019"/>
      <c r="V134" s="1019"/>
      <c r="W134" s="1019"/>
      <c r="X134" s="91"/>
      <c r="Y134" s="91"/>
      <c r="Z134" s="91"/>
      <c r="AA134" s="91"/>
      <c r="AB134" s="91"/>
      <c r="AC134" s="91"/>
      <c r="AD134" s="91"/>
      <c r="AE134" s="91"/>
      <c r="AF134" s="1020"/>
      <c r="AG134" s="1020"/>
      <c r="AH134" s="1020"/>
      <c r="AI134" s="1020"/>
      <c r="AJ134" s="1020"/>
      <c r="AK134" s="1020"/>
      <c r="AL134" s="1020"/>
      <c r="AM134" s="1020"/>
      <c r="AN134" s="1020"/>
      <c r="AO134" s="1020"/>
      <c r="AP134" s="1020"/>
      <c r="AQ134" s="1020"/>
      <c r="AR134" s="1020"/>
      <c r="AS134" s="1020"/>
      <c r="AT134" s="92"/>
    </row>
    <row r="135" spans="1:46" ht="2.25" customHeight="1" thickBot="1">
      <c r="A135" s="93"/>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511"/>
      <c r="AG135" s="511"/>
      <c r="AH135" s="511"/>
      <c r="AI135" s="511"/>
      <c r="AJ135" s="511"/>
      <c r="AK135" s="511"/>
      <c r="AL135" s="511"/>
      <c r="AM135" s="511"/>
      <c r="AN135" s="511"/>
      <c r="AO135" s="511"/>
      <c r="AP135" s="511"/>
      <c r="AQ135" s="511"/>
      <c r="AR135" s="511"/>
      <c r="AS135" s="511"/>
      <c r="AT135" s="95"/>
    </row>
    <row r="136" spans="1:46" ht="3.75" customHeight="1">
      <c r="B136" s="985" t="s">
        <v>697</v>
      </c>
      <c r="C136" s="986"/>
      <c r="D136" s="986"/>
      <c r="E136" s="986"/>
      <c r="F136" s="986"/>
      <c r="G136" s="986"/>
      <c r="H136" s="988" t="s">
        <v>698</v>
      </c>
      <c r="I136" s="988"/>
      <c r="J136" s="988"/>
      <c r="K136" s="988"/>
      <c r="L136" s="988"/>
      <c r="M136" s="988"/>
      <c r="N136" s="988"/>
      <c r="O136" s="988"/>
      <c r="P136" s="988"/>
      <c r="Q136" s="988"/>
      <c r="R136" s="988"/>
      <c r="S136" s="988"/>
    </row>
    <row r="137" spans="1:46" ht="7.5" customHeight="1">
      <c r="B137" s="987"/>
      <c r="C137" s="987"/>
      <c r="D137" s="987"/>
      <c r="E137" s="987"/>
      <c r="F137" s="987"/>
      <c r="G137" s="987"/>
      <c r="H137" s="989"/>
      <c r="I137" s="989"/>
      <c r="J137" s="989"/>
      <c r="K137" s="989"/>
      <c r="L137" s="989"/>
      <c r="M137" s="989"/>
      <c r="N137" s="989"/>
      <c r="O137" s="989"/>
      <c r="P137" s="989"/>
      <c r="Q137" s="989"/>
      <c r="R137" s="989"/>
      <c r="S137" s="989"/>
      <c r="T137" s="437"/>
      <c r="U137" s="437"/>
      <c r="V137" s="437"/>
      <c r="W137" s="437"/>
      <c r="X137" s="437"/>
      <c r="Y137" s="437"/>
      <c r="Z137" s="437"/>
      <c r="AA137" s="437"/>
      <c r="AB137" s="437"/>
      <c r="AC137" s="437"/>
      <c r="AE137" s="997" t="s">
        <v>180</v>
      </c>
      <c r="AF137" s="997"/>
      <c r="AG137" s="997"/>
      <c r="AH137" s="997"/>
      <c r="AI137" s="997"/>
      <c r="AJ137" s="998" t="s">
        <v>181</v>
      </c>
      <c r="AK137" s="998"/>
      <c r="AL137" s="998"/>
      <c r="AM137" s="998"/>
      <c r="AN137" s="998"/>
      <c r="AO137" s="998"/>
      <c r="AP137" s="998"/>
      <c r="AQ137" s="998"/>
      <c r="AR137" s="998"/>
      <c r="AS137" s="998"/>
      <c r="AT137" s="104"/>
    </row>
    <row r="138" spans="1:46" ht="7.5" customHeight="1">
      <c r="B138" s="987"/>
      <c r="C138" s="987"/>
      <c r="D138" s="987"/>
      <c r="E138" s="987"/>
      <c r="F138" s="987"/>
      <c r="G138" s="987"/>
      <c r="H138" s="989"/>
      <c r="I138" s="989"/>
      <c r="J138" s="989"/>
      <c r="K138" s="989"/>
      <c r="L138" s="989"/>
      <c r="M138" s="989"/>
      <c r="N138" s="989"/>
      <c r="O138" s="989"/>
      <c r="P138" s="989"/>
      <c r="Q138" s="989"/>
      <c r="R138" s="989"/>
      <c r="S138" s="989"/>
      <c r="T138" s="437"/>
      <c r="U138" s="437"/>
      <c r="V138" s="437"/>
      <c r="W138" s="437"/>
      <c r="X138" s="437"/>
      <c r="Y138" s="437"/>
      <c r="Z138" s="437"/>
      <c r="AA138" s="437"/>
      <c r="AB138" s="437"/>
      <c r="AC138" s="437"/>
      <c r="AE138" s="997"/>
      <c r="AF138" s="997"/>
      <c r="AG138" s="997"/>
      <c r="AH138" s="997"/>
      <c r="AI138" s="997"/>
      <c r="AJ138" s="998"/>
      <c r="AK138" s="998"/>
      <c r="AL138" s="998"/>
      <c r="AM138" s="998"/>
      <c r="AN138" s="998"/>
      <c r="AO138" s="998"/>
      <c r="AP138" s="998"/>
      <c r="AQ138" s="998"/>
      <c r="AR138" s="998"/>
      <c r="AS138" s="998"/>
      <c r="AT138" s="104"/>
    </row>
    <row r="139" spans="1:46" ht="7.5" customHeight="1">
      <c r="B139" s="987"/>
      <c r="C139" s="987"/>
      <c r="D139" s="987"/>
      <c r="E139" s="987"/>
      <c r="F139" s="987"/>
      <c r="G139" s="987"/>
      <c r="H139" s="989"/>
      <c r="I139" s="989"/>
      <c r="J139" s="989"/>
      <c r="K139" s="989"/>
      <c r="L139" s="989"/>
      <c r="M139" s="989"/>
      <c r="N139" s="989"/>
      <c r="O139" s="989"/>
      <c r="P139" s="989"/>
      <c r="Q139" s="989"/>
      <c r="R139" s="989"/>
      <c r="S139" s="989"/>
      <c r="T139" s="437"/>
      <c r="U139" s="437"/>
      <c r="V139" s="437"/>
      <c r="W139" s="437"/>
      <c r="X139" s="437"/>
      <c r="Y139" s="437"/>
      <c r="Z139" s="437"/>
      <c r="AA139" s="437"/>
      <c r="AB139" s="437"/>
      <c r="AC139" s="437"/>
      <c r="AJ139" s="998"/>
      <c r="AK139" s="998"/>
      <c r="AL139" s="998"/>
      <c r="AM139" s="998"/>
      <c r="AN139" s="998"/>
      <c r="AO139" s="998"/>
      <c r="AP139" s="998"/>
      <c r="AQ139" s="998"/>
      <c r="AR139" s="998"/>
      <c r="AS139" s="998"/>
      <c r="AT139" s="104"/>
    </row>
    <row r="140" spans="1:46" ht="7.5" customHeight="1">
      <c r="B140" s="987"/>
      <c r="C140" s="987"/>
      <c r="D140" s="987"/>
      <c r="E140" s="987"/>
      <c r="F140" s="987"/>
      <c r="G140" s="987"/>
      <c r="H140" s="989"/>
      <c r="I140" s="989"/>
      <c r="J140" s="989"/>
      <c r="K140" s="989"/>
      <c r="L140" s="989"/>
      <c r="M140" s="989"/>
      <c r="N140" s="989"/>
      <c r="O140" s="989"/>
      <c r="P140" s="989"/>
      <c r="Q140" s="989"/>
      <c r="R140" s="989"/>
      <c r="S140" s="989"/>
      <c r="T140" s="437"/>
      <c r="U140" s="437"/>
      <c r="V140" s="437"/>
      <c r="W140" s="437"/>
      <c r="X140" s="437"/>
      <c r="Y140" s="437"/>
      <c r="Z140" s="437"/>
      <c r="AA140" s="437"/>
      <c r="AB140" s="437"/>
      <c r="AC140" s="437"/>
      <c r="AJ140" s="998"/>
      <c r="AK140" s="998"/>
      <c r="AL140" s="998"/>
      <c r="AM140" s="998"/>
      <c r="AN140" s="998"/>
      <c r="AO140" s="998"/>
      <c r="AP140" s="998"/>
      <c r="AQ140" s="998"/>
      <c r="AR140" s="998"/>
      <c r="AS140" s="998"/>
      <c r="AT140" s="104"/>
    </row>
    <row r="141" spans="1:46" ht="10.5" customHeight="1">
      <c r="I141" s="104"/>
      <c r="J141" s="104"/>
      <c r="K141" s="104"/>
      <c r="L141" s="104"/>
      <c r="M141" s="104"/>
      <c r="N141" s="104"/>
      <c r="O141" s="104"/>
      <c r="P141" s="104"/>
      <c r="Q141" s="104"/>
      <c r="R141" s="104"/>
      <c r="S141" s="104"/>
      <c r="T141" s="104"/>
      <c r="U141" s="104"/>
      <c r="V141" s="999" t="s">
        <v>182</v>
      </c>
      <c r="W141" s="999"/>
      <c r="X141" s="999"/>
      <c r="Y141" s="105"/>
      <c r="AJ141" s="104"/>
      <c r="AK141" s="104"/>
      <c r="AL141" s="104"/>
      <c r="AM141" s="104"/>
      <c r="AN141" s="104"/>
      <c r="AO141" s="104"/>
      <c r="AP141" s="104"/>
      <c r="AQ141" s="104"/>
      <c r="AR141" s="104"/>
      <c r="AS141" s="104"/>
      <c r="AT141" s="104"/>
    </row>
    <row r="142" spans="1:46" ht="7.5" customHeight="1">
      <c r="I142" s="104"/>
      <c r="J142" s="104"/>
      <c r="K142" s="104"/>
      <c r="L142" s="104"/>
      <c r="M142" s="104"/>
      <c r="N142" s="104"/>
      <c r="O142" s="104"/>
      <c r="P142" s="104"/>
      <c r="Q142" s="104"/>
      <c r="R142" s="104"/>
      <c r="S142" s="104"/>
      <c r="T142" s="104"/>
      <c r="U142" s="104"/>
      <c r="V142" s="104"/>
      <c r="AJ142" s="104"/>
      <c r="AK142" s="104"/>
      <c r="AL142" s="104"/>
      <c r="AM142" s="104"/>
      <c r="AN142" s="104"/>
      <c r="AO142" s="104"/>
      <c r="AP142" s="104"/>
      <c r="AQ142" s="104"/>
      <c r="AR142" s="104"/>
      <c r="AS142" s="104"/>
      <c r="AT142" s="104"/>
    </row>
    <row r="144" spans="1:46" ht="38.25" customHeight="1">
      <c r="A144" s="990" t="s">
        <v>140</v>
      </c>
      <c r="B144" s="990"/>
      <c r="C144" s="990"/>
      <c r="D144" s="990"/>
      <c r="E144" s="990"/>
      <c r="F144" s="990"/>
      <c r="G144" s="990"/>
      <c r="H144" s="990"/>
      <c r="I144" s="990"/>
      <c r="J144" s="990"/>
      <c r="K144" s="990"/>
      <c r="L144" s="990"/>
      <c r="M144" s="990"/>
      <c r="N144" s="990"/>
      <c r="O144" s="990"/>
      <c r="P144" s="990"/>
      <c r="Q144" s="990"/>
      <c r="R144" s="990"/>
      <c r="S144" s="990"/>
      <c r="T144" s="992"/>
      <c r="U144" s="992"/>
      <c r="V144" s="992"/>
      <c r="W144" s="992"/>
      <c r="X144" s="992"/>
      <c r="Y144" s="992"/>
      <c r="Z144" s="992"/>
      <c r="AA144" s="992"/>
      <c r="AB144" s="994"/>
      <c r="AC144" s="994"/>
      <c r="AD144" s="994"/>
      <c r="AE144" s="994"/>
      <c r="AF144" s="994"/>
      <c r="AG144" s="994"/>
      <c r="AH144" s="994"/>
      <c r="AI144" s="994"/>
      <c r="AJ144" s="994"/>
      <c r="AK144" s="994"/>
      <c r="AL144" s="994"/>
      <c r="AM144" s="994"/>
      <c r="AN144" s="994"/>
      <c r="AO144" s="994"/>
      <c r="AP144" s="994"/>
      <c r="AQ144" s="994"/>
      <c r="AR144" s="994"/>
      <c r="AS144" s="994"/>
      <c r="AT144" s="994"/>
    </row>
    <row r="145" spans="1:46" ht="7.5" customHeight="1">
      <c r="A145" s="990"/>
      <c r="B145" s="990"/>
      <c r="C145" s="990"/>
      <c r="D145" s="990"/>
      <c r="E145" s="990"/>
      <c r="F145" s="990"/>
      <c r="G145" s="990"/>
      <c r="H145" s="990"/>
      <c r="I145" s="990"/>
      <c r="J145" s="990"/>
      <c r="K145" s="990"/>
      <c r="L145" s="990"/>
      <c r="M145" s="990"/>
      <c r="N145" s="990"/>
      <c r="O145" s="990"/>
      <c r="P145" s="990"/>
      <c r="Q145" s="990"/>
      <c r="R145" s="990"/>
      <c r="S145" s="990"/>
      <c r="T145" s="992"/>
      <c r="U145" s="992"/>
      <c r="V145" s="992"/>
      <c r="W145" s="992"/>
      <c r="X145" s="992"/>
      <c r="Y145" s="992"/>
      <c r="Z145" s="992"/>
      <c r="AA145" s="992"/>
      <c r="AB145" s="994"/>
      <c r="AC145" s="994"/>
      <c r="AD145" s="994"/>
      <c r="AE145" s="994"/>
      <c r="AF145" s="994"/>
      <c r="AG145" s="994"/>
      <c r="AH145" s="994"/>
      <c r="AI145" s="994"/>
      <c r="AJ145" s="994"/>
      <c r="AK145" s="994"/>
      <c r="AL145" s="994"/>
      <c r="AM145" s="994"/>
      <c r="AN145" s="994"/>
      <c r="AO145" s="994"/>
      <c r="AP145" s="994"/>
      <c r="AQ145" s="994"/>
      <c r="AR145" s="994"/>
      <c r="AS145" s="994"/>
      <c r="AT145" s="994"/>
    </row>
    <row r="146" spans="1:46" ht="7.5" customHeight="1">
      <c r="A146" s="990"/>
      <c r="B146" s="990"/>
      <c r="C146" s="990"/>
      <c r="D146" s="990"/>
      <c r="E146" s="990"/>
      <c r="F146" s="990"/>
      <c r="G146" s="990"/>
      <c r="H146" s="990"/>
      <c r="I146" s="990"/>
      <c r="J146" s="990"/>
      <c r="K146" s="990"/>
      <c r="L146" s="990"/>
      <c r="M146" s="990"/>
      <c r="N146" s="990"/>
      <c r="O146" s="990"/>
      <c r="P146" s="990"/>
      <c r="Q146" s="990"/>
      <c r="R146" s="990"/>
      <c r="S146" s="990"/>
      <c r="T146" s="992"/>
      <c r="U146" s="992"/>
      <c r="V146" s="992"/>
      <c r="W146" s="992"/>
      <c r="X146" s="992"/>
      <c r="Y146" s="992"/>
      <c r="Z146" s="992"/>
      <c r="AA146" s="992"/>
      <c r="AB146" s="995" t="s">
        <v>1046</v>
      </c>
      <c r="AC146" s="995"/>
      <c r="AD146" s="995"/>
      <c r="AE146" s="995"/>
      <c r="AF146" s="995"/>
      <c r="AG146" s="995"/>
      <c r="AH146" s="995"/>
      <c r="AI146" s="995"/>
      <c r="AJ146" s="995"/>
      <c r="AK146" s="995"/>
      <c r="AL146" s="995"/>
      <c r="AM146" s="995"/>
      <c r="AN146" s="995"/>
      <c r="AO146" s="995"/>
      <c r="AP146" s="995"/>
      <c r="AQ146" s="995"/>
      <c r="AR146" s="995"/>
      <c r="AS146" s="995"/>
      <c r="AT146" s="995"/>
    </row>
    <row r="147" spans="1:46" ht="7.5" customHeight="1">
      <c r="A147" s="991"/>
      <c r="B147" s="991"/>
      <c r="C147" s="991"/>
      <c r="D147" s="991"/>
      <c r="E147" s="991"/>
      <c r="F147" s="991"/>
      <c r="G147" s="991"/>
      <c r="H147" s="991"/>
      <c r="I147" s="991"/>
      <c r="J147" s="991"/>
      <c r="K147" s="991"/>
      <c r="L147" s="991"/>
      <c r="M147" s="991"/>
      <c r="N147" s="991"/>
      <c r="O147" s="991"/>
      <c r="P147" s="991"/>
      <c r="Q147" s="991"/>
      <c r="R147" s="991"/>
      <c r="S147" s="991"/>
      <c r="T147" s="993"/>
      <c r="U147" s="993"/>
      <c r="V147" s="993"/>
      <c r="W147" s="993"/>
      <c r="X147" s="993"/>
      <c r="Y147" s="993"/>
      <c r="Z147" s="993"/>
      <c r="AA147" s="993"/>
      <c r="AB147" s="996"/>
      <c r="AC147" s="996"/>
      <c r="AD147" s="996"/>
      <c r="AE147" s="996"/>
      <c r="AF147" s="996"/>
      <c r="AG147" s="996"/>
      <c r="AH147" s="996"/>
      <c r="AI147" s="996"/>
      <c r="AJ147" s="996"/>
      <c r="AK147" s="996"/>
      <c r="AL147" s="996"/>
      <c r="AM147" s="996"/>
      <c r="AN147" s="996"/>
      <c r="AO147" s="996"/>
      <c r="AP147" s="996"/>
      <c r="AQ147" s="996"/>
      <c r="AR147" s="996"/>
      <c r="AS147" s="996"/>
      <c r="AT147" s="996"/>
    </row>
    <row r="148" spans="1:46" ht="7.5" customHeight="1">
      <c r="A148" s="1023"/>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3"/>
      <c r="AK148" s="1023"/>
      <c r="AL148" s="1023"/>
      <c r="AM148" s="1023"/>
      <c r="AN148" s="1023"/>
      <c r="AO148" s="1023"/>
      <c r="AP148" s="1023"/>
      <c r="AQ148" s="1023"/>
      <c r="AR148" s="1023"/>
      <c r="AS148" s="1023"/>
      <c r="AT148" s="1023"/>
    </row>
    <row r="149" spans="1:46" ht="7.5" customHeight="1" thickBot="1">
      <c r="A149" s="1008"/>
      <c r="B149" s="1008"/>
      <c r="C149" s="1008"/>
      <c r="D149" s="1008"/>
      <c r="E149" s="1008"/>
      <c r="F149" s="1008"/>
      <c r="G149" s="1008"/>
      <c r="H149" s="1008"/>
      <c r="I149" s="1008"/>
      <c r="J149" s="1008"/>
      <c r="K149" s="1008"/>
      <c r="L149" s="1008"/>
      <c r="M149" s="1008"/>
      <c r="N149" s="1008"/>
      <c r="O149" s="1008"/>
      <c r="P149" s="1008"/>
      <c r="Q149" s="1008"/>
      <c r="R149" s="1008"/>
      <c r="S149" s="1008"/>
      <c r="T149" s="1008"/>
      <c r="U149" s="1008"/>
      <c r="V149" s="1008"/>
      <c r="W149" s="1008"/>
      <c r="X149" s="1008"/>
      <c r="Y149" s="1008"/>
      <c r="Z149" s="1008"/>
      <c r="AA149" s="1008"/>
      <c r="AB149" s="1008"/>
      <c r="AC149" s="1008"/>
      <c r="AD149" s="1008"/>
      <c r="AE149" s="1008"/>
      <c r="AF149" s="1008"/>
      <c r="AG149" s="1008"/>
      <c r="AH149" s="1008"/>
      <c r="AI149" s="1008"/>
      <c r="AJ149" s="1008"/>
      <c r="AK149" s="1008"/>
      <c r="AL149" s="1008"/>
      <c r="AM149" s="1008"/>
      <c r="AN149" s="1008"/>
      <c r="AO149" s="1008"/>
      <c r="AP149" s="1008"/>
      <c r="AQ149" s="1008"/>
      <c r="AR149" s="1008"/>
      <c r="AS149" s="1008"/>
      <c r="AT149" s="1008"/>
    </row>
    <row r="150" spans="1:46" ht="7.5" customHeight="1">
      <c r="A150" s="1000" t="s">
        <v>183</v>
      </c>
      <c r="B150" s="1001"/>
      <c r="C150" s="1001"/>
      <c r="D150" s="1001"/>
      <c r="E150" s="1001"/>
      <c r="F150" s="1001"/>
      <c r="G150" s="1001"/>
      <c r="H150" s="1001"/>
      <c r="I150" s="1001"/>
      <c r="J150" s="1001"/>
      <c r="K150" s="1001"/>
      <c r="L150" s="1001"/>
      <c r="M150" s="1001"/>
      <c r="N150" s="1001"/>
      <c r="O150" s="1001"/>
      <c r="P150" s="1001"/>
      <c r="Q150" s="1001"/>
      <c r="R150" s="1001"/>
      <c r="S150" s="1001"/>
      <c r="T150" s="1001"/>
      <c r="U150" s="1001"/>
      <c r="V150" s="1001"/>
      <c r="W150" s="1001"/>
      <c r="X150" s="1001"/>
      <c r="Y150" s="1001"/>
      <c r="Z150" s="1001"/>
      <c r="AA150" s="1002"/>
      <c r="AB150" s="1003"/>
      <c r="AC150" s="1003"/>
      <c r="AD150" s="1003"/>
      <c r="AE150" s="1003"/>
      <c r="AF150" s="1003"/>
      <c r="AG150" s="1003"/>
      <c r="AH150" s="1003"/>
      <c r="AI150" s="1003"/>
      <c r="AJ150" s="1003"/>
      <c r="AK150" s="1003"/>
      <c r="AL150" s="1003"/>
      <c r="AM150" s="1003"/>
      <c r="AN150" s="1003"/>
      <c r="AO150" s="1003"/>
      <c r="AP150" s="1003"/>
      <c r="AQ150" s="1003"/>
      <c r="AR150" s="1003"/>
      <c r="AS150" s="1003"/>
      <c r="AT150" s="1004"/>
    </row>
    <row r="151" spans="1:46" ht="7.5" customHeight="1">
      <c r="A151" s="977"/>
      <c r="B151" s="978"/>
      <c r="C151" s="978"/>
      <c r="D151" s="978"/>
      <c r="E151" s="978"/>
      <c r="F151" s="978"/>
      <c r="G151" s="978"/>
      <c r="H151" s="978"/>
      <c r="I151" s="978"/>
      <c r="J151" s="978"/>
      <c r="K151" s="978"/>
      <c r="L151" s="978"/>
      <c r="M151" s="978"/>
      <c r="N151" s="978"/>
      <c r="O151" s="978"/>
      <c r="P151" s="978"/>
      <c r="Q151" s="978"/>
      <c r="R151" s="978"/>
      <c r="S151" s="978"/>
      <c r="T151" s="978"/>
      <c r="U151" s="978"/>
      <c r="V151" s="978"/>
      <c r="W151" s="978"/>
      <c r="X151" s="978"/>
      <c r="Y151" s="978"/>
      <c r="Z151" s="978"/>
      <c r="AA151" s="1005"/>
      <c r="AB151" s="1005"/>
      <c r="AC151" s="1005"/>
      <c r="AD151" s="1005"/>
      <c r="AE151" s="1005"/>
      <c r="AF151" s="1005"/>
      <c r="AG151" s="1005"/>
      <c r="AH151" s="1005"/>
      <c r="AI151" s="1005"/>
      <c r="AJ151" s="1005"/>
      <c r="AK151" s="1005"/>
      <c r="AL151" s="1005"/>
      <c r="AM151" s="1005"/>
      <c r="AN151" s="1005"/>
      <c r="AO151" s="1005"/>
      <c r="AP151" s="1005"/>
      <c r="AQ151" s="1005"/>
      <c r="AR151" s="1005"/>
      <c r="AS151" s="1005"/>
      <c r="AT151" s="1006"/>
    </row>
    <row r="152" spans="1:46" ht="7.5" customHeight="1">
      <c r="A152" s="977"/>
      <c r="B152" s="978"/>
      <c r="C152" s="978"/>
      <c r="D152" s="978"/>
      <c r="E152" s="978"/>
      <c r="F152" s="978"/>
      <c r="G152" s="978"/>
      <c r="H152" s="978"/>
      <c r="I152" s="978"/>
      <c r="J152" s="978"/>
      <c r="K152" s="978"/>
      <c r="L152" s="978"/>
      <c r="M152" s="978"/>
      <c r="N152" s="978"/>
      <c r="O152" s="978"/>
      <c r="P152" s="978"/>
      <c r="Q152" s="978"/>
      <c r="R152" s="978"/>
      <c r="S152" s="978"/>
      <c r="T152" s="978"/>
      <c r="U152" s="978"/>
      <c r="V152" s="978"/>
      <c r="W152" s="978"/>
      <c r="X152" s="978"/>
      <c r="Y152" s="978"/>
      <c r="Z152" s="978"/>
      <c r="AA152" s="1005"/>
      <c r="AB152" s="1005"/>
      <c r="AC152" s="1005"/>
      <c r="AD152" s="1005"/>
      <c r="AE152" s="1005"/>
      <c r="AF152" s="1005"/>
      <c r="AG152" s="1005"/>
      <c r="AH152" s="1005"/>
      <c r="AI152" s="1005"/>
      <c r="AJ152" s="1005"/>
      <c r="AK152" s="1005"/>
      <c r="AL152" s="1005"/>
      <c r="AM152" s="1005"/>
      <c r="AN152" s="1005"/>
      <c r="AO152" s="1005"/>
      <c r="AP152" s="1005"/>
      <c r="AQ152" s="1005"/>
      <c r="AR152" s="1005"/>
      <c r="AS152" s="1005"/>
      <c r="AT152" s="1006"/>
    </row>
    <row r="153" spans="1:46" ht="7.5" customHeight="1">
      <c r="A153" s="977"/>
      <c r="B153" s="978"/>
      <c r="C153" s="978"/>
      <c r="D153" s="978"/>
      <c r="E153" s="978"/>
      <c r="F153" s="978"/>
      <c r="G153" s="978"/>
      <c r="H153" s="978"/>
      <c r="I153" s="978"/>
      <c r="J153" s="978"/>
      <c r="K153" s="978"/>
      <c r="L153" s="978"/>
      <c r="M153" s="978"/>
      <c r="N153" s="978"/>
      <c r="O153" s="978"/>
      <c r="P153" s="978"/>
      <c r="Q153" s="978"/>
      <c r="R153" s="978"/>
      <c r="S153" s="978"/>
      <c r="T153" s="978"/>
      <c r="U153" s="978"/>
      <c r="V153" s="978"/>
      <c r="W153" s="978"/>
      <c r="X153" s="978"/>
      <c r="Y153" s="978"/>
      <c r="Z153" s="978"/>
      <c r="AA153" s="1005"/>
      <c r="AB153" s="1005"/>
      <c r="AC153" s="1005"/>
      <c r="AD153" s="1005"/>
      <c r="AE153" s="1005"/>
      <c r="AF153" s="1005"/>
      <c r="AG153" s="1005"/>
      <c r="AH153" s="1005"/>
      <c r="AI153" s="1005"/>
      <c r="AJ153" s="1005"/>
      <c r="AK153" s="1005"/>
      <c r="AL153" s="1005"/>
      <c r="AM153" s="1005"/>
      <c r="AN153" s="1005"/>
      <c r="AO153" s="1005"/>
      <c r="AP153" s="1005"/>
      <c r="AQ153" s="1005"/>
      <c r="AR153" s="1005"/>
      <c r="AS153" s="1005"/>
      <c r="AT153" s="1006"/>
    </row>
    <row r="154" spans="1:46" ht="7.5" customHeight="1">
      <c r="A154" s="977"/>
      <c r="B154" s="978"/>
      <c r="C154" s="978"/>
      <c r="D154" s="978"/>
      <c r="E154" s="978"/>
      <c r="F154" s="978"/>
      <c r="G154" s="978"/>
      <c r="H154" s="978"/>
      <c r="I154" s="978"/>
      <c r="J154" s="978"/>
      <c r="K154" s="978"/>
      <c r="L154" s="978"/>
      <c r="M154" s="978"/>
      <c r="N154" s="978"/>
      <c r="O154" s="978"/>
      <c r="P154" s="978"/>
      <c r="Q154" s="978"/>
      <c r="R154" s="978"/>
      <c r="S154" s="978"/>
      <c r="T154" s="978"/>
      <c r="U154" s="978"/>
      <c r="V154" s="978"/>
      <c r="W154" s="978"/>
      <c r="X154" s="978"/>
      <c r="Y154" s="978"/>
      <c r="Z154" s="978"/>
      <c r="AA154" s="975"/>
      <c r="AB154" s="975"/>
      <c r="AC154" s="975"/>
      <c r="AD154" s="975"/>
      <c r="AE154" s="975"/>
      <c r="AF154" s="975"/>
      <c r="AG154" s="975"/>
      <c r="AH154" s="975"/>
      <c r="AI154" s="975"/>
      <c r="AJ154" s="975"/>
      <c r="AK154" s="975"/>
      <c r="AL154" s="975"/>
      <c r="AM154" s="975"/>
      <c r="AN154" s="975"/>
      <c r="AO154" s="975"/>
      <c r="AP154" s="975"/>
      <c r="AQ154" s="975"/>
      <c r="AR154" s="975"/>
      <c r="AS154" s="975"/>
      <c r="AT154" s="976"/>
    </row>
    <row r="155" spans="1:46" ht="7.5" customHeight="1">
      <c r="A155" s="977" t="s">
        <v>143</v>
      </c>
      <c r="B155" s="978"/>
      <c r="C155" s="978"/>
      <c r="D155" s="978"/>
      <c r="E155" s="978"/>
      <c r="F155" s="978"/>
      <c r="G155" s="978"/>
      <c r="H155" s="978"/>
      <c r="I155" s="978"/>
      <c r="J155" s="978"/>
      <c r="K155" s="978"/>
      <c r="L155" s="978"/>
      <c r="M155" s="978"/>
      <c r="N155" s="978"/>
      <c r="O155" s="978"/>
      <c r="P155" s="978"/>
      <c r="Q155" s="978"/>
      <c r="R155" s="978"/>
      <c r="S155" s="978"/>
      <c r="T155" s="978"/>
      <c r="U155" s="978"/>
      <c r="V155" s="978"/>
      <c r="W155" s="978"/>
      <c r="X155" s="978"/>
      <c r="Y155" s="978"/>
      <c r="Z155" s="978"/>
      <c r="AA155" s="975"/>
      <c r="AB155" s="975"/>
      <c r="AC155" s="975"/>
      <c r="AD155" s="975"/>
      <c r="AE155" s="975"/>
      <c r="AF155" s="975"/>
      <c r="AG155" s="975"/>
      <c r="AH155" s="975"/>
      <c r="AI155" s="975"/>
      <c r="AJ155" s="975"/>
      <c r="AK155" s="975"/>
      <c r="AL155" s="975"/>
      <c r="AM155" s="975"/>
      <c r="AN155" s="975"/>
      <c r="AO155" s="975"/>
      <c r="AP155" s="975"/>
      <c r="AQ155" s="975"/>
      <c r="AR155" s="975"/>
      <c r="AS155" s="975"/>
      <c r="AT155" s="976"/>
    </row>
    <row r="156" spans="1:46" ht="7.5" customHeight="1">
      <c r="A156" s="977"/>
      <c r="B156" s="978"/>
      <c r="C156" s="978"/>
      <c r="D156" s="978"/>
      <c r="E156" s="978"/>
      <c r="F156" s="978"/>
      <c r="G156" s="978"/>
      <c r="H156" s="978"/>
      <c r="I156" s="978"/>
      <c r="J156" s="978"/>
      <c r="K156" s="978"/>
      <c r="L156" s="978"/>
      <c r="M156" s="978"/>
      <c r="N156" s="978"/>
      <c r="O156" s="978"/>
      <c r="P156" s="978"/>
      <c r="Q156" s="978"/>
      <c r="R156" s="978"/>
      <c r="S156" s="978"/>
      <c r="T156" s="978"/>
      <c r="U156" s="978"/>
      <c r="V156" s="978"/>
      <c r="W156" s="978"/>
      <c r="X156" s="978"/>
      <c r="Y156" s="978"/>
      <c r="Z156" s="978"/>
      <c r="AA156" s="981"/>
      <c r="AB156" s="981"/>
      <c r="AC156" s="981"/>
      <c r="AD156" s="981"/>
      <c r="AE156" s="981"/>
      <c r="AF156" s="981"/>
      <c r="AG156" s="981"/>
      <c r="AH156" s="981"/>
      <c r="AI156" s="981"/>
      <c r="AJ156" s="981"/>
      <c r="AK156" s="981"/>
      <c r="AL156" s="981"/>
      <c r="AM156" s="981"/>
      <c r="AN156" s="981"/>
      <c r="AO156" s="981"/>
      <c r="AP156" s="981"/>
      <c r="AQ156" s="981"/>
      <c r="AR156" s="981"/>
      <c r="AS156" s="981"/>
      <c r="AT156" s="983"/>
    </row>
    <row r="157" spans="1:46" ht="7.5" customHeight="1">
      <c r="A157" s="977"/>
      <c r="B157" s="978"/>
      <c r="C157" s="978"/>
      <c r="D157" s="978"/>
      <c r="E157" s="978"/>
      <c r="F157" s="978"/>
      <c r="G157" s="978"/>
      <c r="H157" s="978"/>
      <c r="I157" s="978"/>
      <c r="J157" s="978"/>
      <c r="K157" s="978"/>
      <c r="L157" s="978"/>
      <c r="M157" s="978"/>
      <c r="N157" s="978"/>
      <c r="O157" s="978"/>
      <c r="P157" s="978"/>
      <c r="Q157" s="978"/>
      <c r="R157" s="978"/>
      <c r="S157" s="978"/>
      <c r="T157" s="978"/>
      <c r="U157" s="978"/>
      <c r="V157" s="978"/>
      <c r="W157" s="978"/>
      <c r="X157" s="978"/>
      <c r="Y157" s="978"/>
      <c r="Z157" s="978"/>
      <c r="AA157" s="981"/>
      <c r="AB157" s="981"/>
      <c r="AC157" s="981"/>
      <c r="AD157" s="981"/>
      <c r="AE157" s="981"/>
      <c r="AF157" s="981"/>
      <c r="AG157" s="981"/>
      <c r="AH157" s="981"/>
      <c r="AI157" s="981"/>
      <c r="AJ157" s="981"/>
      <c r="AK157" s="981"/>
      <c r="AL157" s="981"/>
      <c r="AM157" s="981"/>
      <c r="AN157" s="981"/>
      <c r="AO157" s="981"/>
      <c r="AP157" s="981"/>
      <c r="AQ157" s="981"/>
      <c r="AR157" s="981"/>
      <c r="AS157" s="981"/>
      <c r="AT157" s="983"/>
    </row>
    <row r="158" spans="1:46" ht="7.5" customHeight="1" thickBot="1">
      <c r="A158" s="979"/>
      <c r="B158" s="980"/>
      <c r="C158" s="980"/>
      <c r="D158" s="980"/>
      <c r="E158" s="980"/>
      <c r="F158" s="980"/>
      <c r="G158" s="980"/>
      <c r="H158" s="980"/>
      <c r="I158" s="980"/>
      <c r="J158" s="980"/>
      <c r="K158" s="980"/>
      <c r="L158" s="980"/>
      <c r="M158" s="980"/>
      <c r="N158" s="980"/>
      <c r="O158" s="980"/>
      <c r="P158" s="980"/>
      <c r="Q158" s="980"/>
      <c r="R158" s="980"/>
      <c r="S158" s="980"/>
      <c r="T158" s="980"/>
      <c r="U158" s="980"/>
      <c r="V158" s="980"/>
      <c r="W158" s="980"/>
      <c r="X158" s="980"/>
      <c r="Y158" s="980"/>
      <c r="Z158" s="980"/>
      <c r="AA158" s="982"/>
      <c r="AB158" s="982"/>
      <c r="AC158" s="982"/>
      <c r="AD158" s="982"/>
      <c r="AE158" s="982"/>
      <c r="AF158" s="982"/>
      <c r="AG158" s="982"/>
      <c r="AH158" s="982"/>
      <c r="AI158" s="982"/>
      <c r="AJ158" s="982"/>
      <c r="AK158" s="982"/>
      <c r="AL158" s="982"/>
      <c r="AM158" s="982"/>
      <c r="AN158" s="982"/>
      <c r="AO158" s="982"/>
      <c r="AP158" s="982"/>
      <c r="AQ158" s="982"/>
      <c r="AR158" s="982"/>
      <c r="AS158" s="982"/>
      <c r="AT158" s="984"/>
    </row>
    <row r="159" spans="1:46" ht="7.5" customHeight="1">
      <c r="A159" s="1008"/>
      <c r="B159" s="1008"/>
      <c r="C159" s="1008"/>
      <c r="D159" s="1008"/>
      <c r="E159" s="1008"/>
      <c r="F159" s="1008"/>
      <c r="G159" s="1008"/>
      <c r="H159" s="1008"/>
      <c r="I159" s="1008"/>
      <c r="J159" s="1008"/>
      <c r="K159" s="1008"/>
      <c r="L159" s="1008"/>
      <c r="M159" s="1008"/>
      <c r="N159" s="1008"/>
      <c r="O159" s="1008"/>
      <c r="P159" s="1008"/>
      <c r="Q159" s="1008"/>
      <c r="R159" s="1008"/>
      <c r="S159" s="1008"/>
      <c r="T159" s="1008"/>
      <c r="U159" s="1008"/>
      <c r="V159" s="1008"/>
      <c r="W159" s="1008"/>
      <c r="X159" s="1008"/>
      <c r="Y159" s="1008"/>
      <c r="Z159" s="1008"/>
      <c r="AA159" s="1008"/>
      <c r="AB159" s="1008"/>
      <c r="AC159" s="1008"/>
      <c r="AD159" s="1008"/>
      <c r="AE159" s="1008"/>
      <c r="AF159" s="1008"/>
      <c r="AG159" s="1008"/>
      <c r="AH159" s="1008"/>
      <c r="AI159" s="1008"/>
      <c r="AJ159" s="1008"/>
      <c r="AK159" s="1008"/>
      <c r="AL159" s="1008"/>
      <c r="AM159" s="1008"/>
      <c r="AN159" s="1008"/>
      <c r="AO159" s="1008"/>
      <c r="AP159" s="1008"/>
      <c r="AQ159" s="1008"/>
      <c r="AR159" s="1008"/>
      <c r="AS159" s="1008"/>
      <c r="AT159" s="1008"/>
    </row>
    <row r="161" spans="1:45" ht="7.5" customHeight="1">
      <c r="A161" s="1011" t="s">
        <v>184</v>
      </c>
      <c r="B161" s="1011"/>
      <c r="C161" s="1011"/>
      <c r="D161" s="1011"/>
      <c r="E161" s="1011"/>
      <c r="F161" s="1011"/>
      <c r="G161" s="1011"/>
      <c r="H161" s="1011"/>
      <c r="I161" s="1011"/>
      <c r="J161" s="1011"/>
      <c r="K161" s="1011"/>
      <c r="L161" s="1011"/>
      <c r="M161" s="1011"/>
      <c r="N161" s="1011"/>
      <c r="O161" s="1011"/>
      <c r="P161" s="1011"/>
      <c r="Q161" s="1011"/>
      <c r="R161" s="1011"/>
      <c r="S161" s="1011"/>
      <c r="T161" s="1011"/>
      <c r="U161" s="1011"/>
      <c r="V161" s="1011"/>
      <c r="W161" s="1011"/>
      <c r="X161" s="1011"/>
      <c r="Y161" s="1011"/>
      <c r="Z161" s="1011"/>
      <c r="AA161" s="1011"/>
      <c r="AB161" s="1011"/>
      <c r="AC161" s="1011"/>
      <c r="AD161" s="1011"/>
      <c r="AE161" s="1011"/>
      <c r="AF161" s="1011"/>
      <c r="AG161" s="1011"/>
      <c r="AH161" s="1011"/>
      <c r="AI161" s="1011"/>
      <c r="AJ161" s="1011"/>
      <c r="AK161" s="1011"/>
      <c r="AL161" s="1011"/>
      <c r="AM161" s="1011"/>
      <c r="AN161" s="1011"/>
      <c r="AO161" s="1011"/>
      <c r="AP161" s="1011"/>
      <c r="AQ161" s="1011"/>
      <c r="AR161" s="1011"/>
      <c r="AS161" s="1011"/>
    </row>
    <row r="162" spans="1:45" ht="7.5" customHeight="1">
      <c r="A162" s="1011"/>
      <c r="B162" s="1011"/>
      <c r="C162" s="1011"/>
      <c r="D162" s="1011"/>
      <c r="E162" s="1011"/>
      <c r="F162" s="1011"/>
      <c r="G162" s="1011"/>
      <c r="H162" s="1011"/>
      <c r="I162" s="1011"/>
      <c r="J162" s="1011"/>
      <c r="K162" s="1011"/>
      <c r="L162" s="1011"/>
      <c r="M162" s="1011"/>
      <c r="N162" s="1011"/>
      <c r="O162" s="1011"/>
      <c r="P162" s="1011"/>
      <c r="Q162" s="1011"/>
      <c r="R162" s="1011"/>
      <c r="S162" s="1011"/>
      <c r="T162" s="1011"/>
      <c r="U162" s="1011"/>
      <c r="V162" s="1011"/>
      <c r="W162" s="1011"/>
      <c r="X162" s="1011"/>
      <c r="Y162" s="1011"/>
      <c r="Z162" s="1011"/>
      <c r="AA162" s="1011"/>
      <c r="AB162" s="1011"/>
      <c r="AC162" s="1011"/>
      <c r="AD162" s="1011"/>
      <c r="AE162" s="1011"/>
      <c r="AF162" s="1011"/>
      <c r="AG162" s="1011"/>
      <c r="AH162" s="1011"/>
      <c r="AI162" s="1011"/>
      <c r="AJ162" s="1011"/>
      <c r="AK162" s="1011"/>
      <c r="AL162" s="1011"/>
      <c r="AM162" s="1011"/>
      <c r="AN162" s="1011"/>
      <c r="AO162" s="1011"/>
      <c r="AP162" s="1011"/>
      <c r="AQ162" s="1011"/>
      <c r="AR162" s="1011"/>
      <c r="AS162" s="1011"/>
    </row>
    <row r="164" spans="1:45" ht="7.5" customHeight="1">
      <c r="A164" s="1007" t="s">
        <v>185</v>
      </c>
      <c r="B164" s="1009" t="s">
        <v>186</v>
      </c>
      <c r="C164" s="1010"/>
      <c r="D164" s="1010"/>
      <c r="E164" s="1010"/>
      <c r="F164" s="1010"/>
      <c r="G164" s="1010"/>
      <c r="H164" s="1010"/>
      <c r="I164" s="1010"/>
      <c r="J164" s="1010"/>
      <c r="K164" s="1010"/>
      <c r="L164" s="1010"/>
      <c r="M164" s="1010"/>
      <c r="N164" s="1010"/>
      <c r="O164" s="1010"/>
      <c r="P164" s="1010"/>
      <c r="Q164" s="1010"/>
      <c r="R164" s="1010"/>
      <c r="S164" s="1010"/>
      <c r="T164" s="1010"/>
      <c r="U164" s="1010"/>
      <c r="V164" s="1010"/>
      <c r="W164" s="1010"/>
      <c r="X164" s="1010"/>
      <c r="Y164" s="1010"/>
      <c r="Z164" s="1010"/>
      <c r="AA164" s="1010"/>
      <c r="AB164" s="1010"/>
      <c r="AC164" s="1010"/>
      <c r="AD164" s="1010"/>
      <c r="AE164" s="1010"/>
      <c r="AF164" s="1010"/>
      <c r="AG164" s="1010"/>
      <c r="AH164" s="1010"/>
      <c r="AI164" s="1010"/>
      <c r="AJ164" s="1010"/>
      <c r="AK164" s="1010"/>
      <c r="AL164" s="1010"/>
      <c r="AM164" s="1010"/>
      <c r="AN164" s="1010"/>
      <c r="AO164" s="1010"/>
      <c r="AP164" s="1010"/>
      <c r="AQ164" s="1010"/>
      <c r="AR164" s="1010"/>
      <c r="AS164" s="1010"/>
    </row>
    <row r="165" spans="1:45" ht="7.5" customHeight="1">
      <c r="A165" s="1008"/>
      <c r="B165" s="1010"/>
      <c r="C165" s="1010"/>
      <c r="D165" s="1010"/>
      <c r="E165" s="1010"/>
      <c r="F165" s="1010"/>
      <c r="G165" s="1010"/>
      <c r="H165" s="1010"/>
      <c r="I165" s="1010"/>
      <c r="J165" s="1010"/>
      <c r="K165" s="1010"/>
      <c r="L165" s="1010"/>
      <c r="M165" s="1010"/>
      <c r="N165" s="1010"/>
      <c r="O165" s="1010"/>
      <c r="P165" s="1010"/>
      <c r="Q165" s="1010"/>
      <c r="R165" s="1010"/>
      <c r="S165" s="1010"/>
      <c r="T165" s="1010"/>
      <c r="U165" s="1010"/>
      <c r="V165" s="1010"/>
      <c r="W165" s="1010"/>
      <c r="X165" s="1010"/>
      <c r="Y165" s="1010"/>
      <c r="Z165" s="1010"/>
      <c r="AA165" s="1010"/>
      <c r="AB165" s="1010"/>
      <c r="AC165" s="1010"/>
      <c r="AD165" s="1010"/>
      <c r="AE165" s="1010"/>
      <c r="AF165" s="1010"/>
      <c r="AG165" s="1010"/>
      <c r="AH165" s="1010"/>
      <c r="AI165" s="1010"/>
      <c r="AJ165" s="1010"/>
      <c r="AK165" s="1010"/>
      <c r="AL165" s="1010"/>
      <c r="AM165" s="1010"/>
      <c r="AN165" s="1010"/>
      <c r="AO165" s="1010"/>
      <c r="AP165" s="1010"/>
      <c r="AQ165" s="1010"/>
      <c r="AR165" s="1010"/>
      <c r="AS165" s="1010"/>
    </row>
    <row r="166" spans="1:45" ht="7.5" customHeight="1">
      <c r="A166" s="1007" t="s">
        <v>185</v>
      </c>
      <c r="B166" s="1022" t="s">
        <v>187</v>
      </c>
      <c r="C166" s="1010"/>
      <c r="D166" s="1010"/>
      <c r="E166" s="1010"/>
      <c r="F166" s="1010"/>
      <c r="G166" s="1010"/>
      <c r="H166" s="1010"/>
      <c r="I166" s="1010"/>
      <c r="J166" s="1010"/>
      <c r="K166" s="1010"/>
      <c r="L166" s="1010"/>
      <c r="M166" s="1010"/>
      <c r="N166" s="1010"/>
      <c r="O166" s="1010"/>
      <c r="P166" s="1010"/>
      <c r="Q166" s="1010"/>
      <c r="R166" s="1010"/>
      <c r="S166" s="1010"/>
      <c r="T166" s="1010"/>
      <c r="U166" s="1010"/>
      <c r="V166" s="1010"/>
      <c r="W166" s="1010"/>
      <c r="X166" s="1010"/>
      <c r="Y166" s="1010"/>
      <c r="Z166" s="1010"/>
      <c r="AA166" s="1010"/>
      <c r="AB166" s="1010"/>
      <c r="AC166" s="1010"/>
      <c r="AD166" s="1010"/>
      <c r="AE166" s="1010"/>
      <c r="AF166" s="1010"/>
      <c r="AG166" s="1010"/>
      <c r="AH166" s="1010"/>
      <c r="AI166" s="1010"/>
      <c r="AJ166" s="1010"/>
      <c r="AK166" s="1010"/>
      <c r="AL166" s="1010"/>
      <c r="AM166" s="1010"/>
      <c r="AN166" s="1010"/>
      <c r="AO166" s="1010"/>
      <c r="AP166" s="1010"/>
      <c r="AQ166" s="1010"/>
      <c r="AR166" s="1010"/>
      <c r="AS166" s="1010"/>
    </row>
    <row r="167" spans="1:45" ht="7.5" customHeight="1">
      <c r="A167" s="1008"/>
      <c r="B167" s="1010"/>
      <c r="C167" s="1010"/>
      <c r="D167" s="1010"/>
      <c r="E167" s="1010"/>
      <c r="F167" s="1010"/>
      <c r="G167" s="1010"/>
      <c r="H167" s="1010"/>
      <c r="I167" s="1010"/>
      <c r="J167" s="1010"/>
      <c r="K167" s="1010"/>
      <c r="L167" s="1010"/>
      <c r="M167" s="1010"/>
      <c r="N167" s="1010"/>
      <c r="O167" s="1010"/>
      <c r="P167" s="1010"/>
      <c r="Q167" s="1010"/>
      <c r="R167" s="1010"/>
      <c r="S167" s="1010"/>
      <c r="T167" s="1010"/>
      <c r="U167" s="1010"/>
      <c r="V167" s="1010"/>
      <c r="W167" s="1010"/>
      <c r="X167" s="1010"/>
      <c r="Y167" s="1010"/>
      <c r="Z167" s="1010"/>
      <c r="AA167" s="1010"/>
      <c r="AB167" s="1010"/>
      <c r="AC167" s="1010"/>
      <c r="AD167" s="1010"/>
      <c r="AE167" s="1010"/>
      <c r="AF167" s="1010"/>
      <c r="AG167" s="1010"/>
      <c r="AH167" s="1010"/>
      <c r="AI167" s="1010"/>
      <c r="AJ167" s="1010"/>
      <c r="AK167" s="1010"/>
      <c r="AL167" s="1010"/>
      <c r="AM167" s="1010"/>
      <c r="AN167" s="1010"/>
      <c r="AO167" s="1010"/>
      <c r="AP167" s="1010"/>
      <c r="AQ167" s="1010"/>
      <c r="AR167" s="1010"/>
      <c r="AS167" s="1010"/>
    </row>
    <row r="168" spans="1:45" ht="7.5" customHeight="1">
      <c r="B168" s="1010"/>
      <c r="C168" s="1010"/>
      <c r="D168" s="1010"/>
      <c r="E168" s="1010"/>
      <c r="F168" s="1010"/>
      <c r="G168" s="1010"/>
      <c r="H168" s="1010"/>
      <c r="I168" s="1010"/>
      <c r="J168" s="1010"/>
      <c r="K168" s="1010"/>
      <c r="L168" s="1010"/>
      <c r="M168" s="1010"/>
      <c r="N168" s="1010"/>
      <c r="O168" s="1010"/>
      <c r="P168" s="1010"/>
      <c r="Q168" s="1010"/>
      <c r="R168" s="1010"/>
      <c r="S168" s="1010"/>
      <c r="T168" s="1010"/>
      <c r="U168" s="1010"/>
      <c r="V168" s="1010"/>
      <c r="W168" s="1010"/>
      <c r="X168" s="1010"/>
      <c r="Y168" s="1010"/>
      <c r="Z168" s="1010"/>
      <c r="AA168" s="1010"/>
      <c r="AB168" s="1010"/>
      <c r="AC168" s="1010"/>
      <c r="AD168" s="1010"/>
      <c r="AE168" s="1010"/>
      <c r="AF168" s="1010"/>
      <c r="AG168" s="1010"/>
      <c r="AH168" s="1010"/>
      <c r="AI168" s="1010"/>
      <c r="AJ168" s="1010"/>
      <c r="AK168" s="1010"/>
      <c r="AL168" s="1010"/>
      <c r="AM168" s="1010"/>
      <c r="AN168" s="1010"/>
      <c r="AO168" s="1010"/>
      <c r="AP168" s="1010"/>
      <c r="AQ168" s="1010"/>
      <c r="AR168" s="1010"/>
      <c r="AS168" s="1010"/>
    </row>
    <row r="169" spans="1:45" ht="7.5" customHeight="1">
      <c r="B169" s="1010"/>
      <c r="C169" s="1010"/>
      <c r="D169" s="1010"/>
      <c r="E169" s="1010"/>
      <c r="F169" s="1010"/>
      <c r="G169" s="1010"/>
      <c r="H169" s="1010"/>
      <c r="I169" s="1010"/>
      <c r="J169" s="1010"/>
      <c r="K169" s="1010"/>
      <c r="L169" s="1010"/>
      <c r="M169" s="1010"/>
      <c r="N169" s="1010"/>
      <c r="O169" s="1010"/>
      <c r="P169" s="1010"/>
      <c r="Q169" s="1010"/>
      <c r="R169" s="1010"/>
      <c r="S169" s="1010"/>
      <c r="T169" s="1010"/>
      <c r="U169" s="1010"/>
      <c r="V169" s="1010"/>
      <c r="W169" s="1010"/>
      <c r="X169" s="1010"/>
      <c r="Y169" s="1010"/>
      <c r="Z169" s="1010"/>
      <c r="AA169" s="1010"/>
      <c r="AB169" s="1010"/>
      <c r="AC169" s="1010"/>
      <c r="AD169" s="1010"/>
      <c r="AE169" s="1010"/>
      <c r="AF169" s="1010"/>
      <c r="AG169" s="1010"/>
      <c r="AH169" s="1010"/>
      <c r="AI169" s="1010"/>
      <c r="AJ169" s="1010"/>
      <c r="AK169" s="1010"/>
      <c r="AL169" s="1010"/>
      <c r="AM169" s="1010"/>
      <c r="AN169" s="1010"/>
      <c r="AO169" s="1010"/>
      <c r="AP169" s="1010"/>
      <c r="AQ169" s="1010"/>
      <c r="AR169" s="1010"/>
      <c r="AS169" s="1010"/>
    </row>
    <row r="170" spans="1:45" ht="7.5" customHeight="1">
      <c r="A170" s="1007" t="s">
        <v>185</v>
      </c>
      <c r="B170" s="1022" t="s">
        <v>188</v>
      </c>
      <c r="C170" s="1010"/>
      <c r="D170" s="1010"/>
      <c r="E170" s="1010"/>
      <c r="F170" s="1010"/>
      <c r="G170" s="1010"/>
      <c r="H170" s="1010"/>
      <c r="I170" s="1010"/>
      <c r="J170" s="1010"/>
      <c r="K170" s="1010"/>
      <c r="L170" s="1010"/>
      <c r="M170" s="1010"/>
      <c r="N170" s="1010"/>
      <c r="O170" s="1010"/>
      <c r="P170" s="1010"/>
      <c r="Q170" s="1010"/>
      <c r="R170" s="1010"/>
      <c r="S170" s="1010"/>
      <c r="T170" s="1010"/>
      <c r="U170" s="1010"/>
      <c r="V170" s="1010"/>
      <c r="W170" s="1010"/>
      <c r="X170" s="1010"/>
      <c r="Y170" s="1010"/>
      <c r="Z170" s="1010"/>
      <c r="AA170" s="1010"/>
      <c r="AB170" s="1010"/>
      <c r="AC170" s="1010"/>
      <c r="AD170" s="1010"/>
      <c r="AE170" s="1010"/>
      <c r="AF170" s="1010"/>
      <c r="AG170" s="1010"/>
      <c r="AH170" s="1010"/>
      <c r="AI170" s="1010"/>
      <c r="AJ170" s="1010"/>
      <c r="AK170" s="1010"/>
      <c r="AL170" s="1010"/>
      <c r="AM170" s="1010"/>
      <c r="AN170" s="1010"/>
      <c r="AO170" s="1010"/>
      <c r="AP170" s="1010"/>
      <c r="AQ170" s="1010"/>
      <c r="AR170" s="1010"/>
      <c r="AS170" s="1010"/>
    </row>
    <row r="171" spans="1:45" ht="7.5" customHeight="1">
      <c r="A171" s="1008"/>
      <c r="B171" s="1010"/>
      <c r="C171" s="1010"/>
      <c r="D171" s="1010"/>
      <c r="E171" s="1010"/>
      <c r="F171" s="1010"/>
      <c r="G171" s="1010"/>
      <c r="H171" s="1010"/>
      <c r="I171" s="1010"/>
      <c r="J171" s="1010"/>
      <c r="K171" s="1010"/>
      <c r="L171" s="1010"/>
      <c r="M171" s="1010"/>
      <c r="N171" s="1010"/>
      <c r="O171" s="1010"/>
      <c r="P171" s="1010"/>
      <c r="Q171" s="1010"/>
      <c r="R171" s="1010"/>
      <c r="S171" s="1010"/>
      <c r="T171" s="1010"/>
      <c r="U171" s="1010"/>
      <c r="V171" s="1010"/>
      <c r="W171" s="1010"/>
      <c r="X171" s="1010"/>
      <c r="Y171" s="1010"/>
      <c r="Z171" s="1010"/>
      <c r="AA171" s="1010"/>
      <c r="AB171" s="1010"/>
      <c r="AC171" s="1010"/>
      <c r="AD171" s="1010"/>
      <c r="AE171" s="1010"/>
      <c r="AF171" s="1010"/>
      <c r="AG171" s="1010"/>
      <c r="AH171" s="1010"/>
      <c r="AI171" s="1010"/>
      <c r="AJ171" s="1010"/>
      <c r="AK171" s="1010"/>
      <c r="AL171" s="1010"/>
      <c r="AM171" s="1010"/>
      <c r="AN171" s="1010"/>
      <c r="AO171" s="1010"/>
      <c r="AP171" s="1010"/>
      <c r="AQ171" s="1010"/>
      <c r="AR171" s="1010"/>
      <c r="AS171" s="1010"/>
    </row>
    <row r="172" spans="1:45" ht="7.5" customHeight="1">
      <c r="B172" s="1010"/>
      <c r="C172" s="1010"/>
      <c r="D172" s="1010"/>
      <c r="E172" s="1010"/>
      <c r="F172" s="1010"/>
      <c r="G172" s="1010"/>
      <c r="H172" s="1010"/>
      <c r="I172" s="1010"/>
      <c r="J172" s="1010"/>
      <c r="K172" s="1010"/>
      <c r="L172" s="1010"/>
      <c r="M172" s="1010"/>
      <c r="N172" s="1010"/>
      <c r="O172" s="1010"/>
      <c r="P172" s="1010"/>
      <c r="Q172" s="1010"/>
      <c r="R172" s="1010"/>
      <c r="S172" s="1010"/>
      <c r="T172" s="1010"/>
      <c r="U172" s="1010"/>
      <c r="V172" s="1010"/>
      <c r="W172" s="1010"/>
      <c r="X172" s="1010"/>
      <c r="Y172" s="1010"/>
      <c r="Z172" s="1010"/>
      <c r="AA172" s="1010"/>
      <c r="AB172" s="1010"/>
      <c r="AC172" s="1010"/>
      <c r="AD172" s="1010"/>
      <c r="AE172" s="1010"/>
      <c r="AF172" s="1010"/>
      <c r="AG172" s="1010"/>
      <c r="AH172" s="1010"/>
      <c r="AI172" s="1010"/>
      <c r="AJ172" s="1010"/>
      <c r="AK172" s="1010"/>
      <c r="AL172" s="1010"/>
      <c r="AM172" s="1010"/>
      <c r="AN172" s="1010"/>
      <c r="AO172" s="1010"/>
      <c r="AP172" s="1010"/>
      <c r="AQ172" s="1010"/>
      <c r="AR172" s="1010"/>
      <c r="AS172" s="1010"/>
    </row>
    <row r="173" spans="1:45" ht="7.5" customHeight="1">
      <c r="B173" s="1010"/>
      <c r="C173" s="1010"/>
      <c r="D173" s="1010"/>
      <c r="E173" s="1010"/>
      <c r="F173" s="1010"/>
      <c r="G173" s="1010"/>
      <c r="H173" s="1010"/>
      <c r="I173" s="1010"/>
      <c r="J173" s="1010"/>
      <c r="K173" s="1010"/>
      <c r="L173" s="1010"/>
      <c r="M173" s="1010"/>
      <c r="N173" s="1010"/>
      <c r="O173" s="1010"/>
      <c r="P173" s="1010"/>
      <c r="Q173" s="1010"/>
      <c r="R173" s="1010"/>
      <c r="S173" s="1010"/>
      <c r="T173" s="1010"/>
      <c r="U173" s="1010"/>
      <c r="V173" s="1010"/>
      <c r="W173" s="1010"/>
      <c r="X173" s="1010"/>
      <c r="Y173" s="1010"/>
      <c r="Z173" s="1010"/>
      <c r="AA173" s="1010"/>
      <c r="AB173" s="1010"/>
      <c r="AC173" s="1010"/>
      <c r="AD173" s="1010"/>
      <c r="AE173" s="1010"/>
      <c r="AF173" s="1010"/>
      <c r="AG173" s="1010"/>
      <c r="AH173" s="1010"/>
      <c r="AI173" s="1010"/>
      <c r="AJ173" s="1010"/>
      <c r="AK173" s="1010"/>
      <c r="AL173" s="1010"/>
      <c r="AM173" s="1010"/>
      <c r="AN173" s="1010"/>
      <c r="AO173" s="1010"/>
      <c r="AP173" s="1010"/>
      <c r="AQ173" s="1010"/>
      <c r="AR173" s="1010"/>
      <c r="AS173" s="1010"/>
    </row>
    <row r="177" spans="1:46" ht="7.5" customHeight="1">
      <c r="A177" s="1011" t="s">
        <v>189</v>
      </c>
      <c r="B177" s="1011"/>
      <c r="C177" s="1011"/>
      <c r="D177" s="1011"/>
      <c r="E177" s="1011"/>
      <c r="F177" s="1011"/>
      <c r="G177" s="1011"/>
      <c r="H177" s="1011"/>
      <c r="I177" s="1011"/>
      <c r="J177" s="1011"/>
      <c r="K177" s="1011"/>
      <c r="L177" s="1011"/>
      <c r="M177" s="1011"/>
      <c r="N177" s="1011"/>
      <c r="O177" s="1011"/>
      <c r="P177" s="1011"/>
      <c r="Q177" s="1011"/>
      <c r="R177" s="1011"/>
      <c r="S177" s="1011"/>
      <c r="T177" s="1011"/>
      <c r="U177" s="1011"/>
      <c r="V177" s="1011"/>
      <c r="W177" s="1011"/>
      <c r="X177" s="1011"/>
      <c r="Y177" s="1011"/>
      <c r="Z177" s="1011"/>
      <c r="AA177" s="1011"/>
      <c r="AB177" s="1011"/>
      <c r="AC177" s="1011"/>
      <c r="AD177" s="1011"/>
      <c r="AE177" s="1011"/>
      <c r="AF177" s="1011"/>
      <c r="AG177" s="1011"/>
      <c r="AH177" s="1011"/>
      <c r="AI177" s="1011"/>
      <c r="AJ177" s="1011"/>
      <c r="AK177" s="1011"/>
      <c r="AL177" s="1011"/>
      <c r="AM177" s="1011"/>
      <c r="AN177" s="1011"/>
      <c r="AO177" s="1011"/>
      <c r="AP177" s="1011"/>
      <c r="AQ177" s="1011"/>
      <c r="AR177" s="1011"/>
      <c r="AS177" s="1011"/>
      <c r="AT177" s="1011"/>
    </row>
    <row r="178" spans="1:46" ht="7.5" customHeight="1">
      <c r="A178" s="1011"/>
      <c r="B178" s="1011"/>
      <c r="C178" s="1011"/>
      <c r="D178" s="1011"/>
      <c r="E178" s="1011"/>
      <c r="F178" s="1011"/>
      <c r="G178" s="1011"/>
      <c r="H178" s="1011"/>
      <c r="I178" s="1011"/>
      <c r="J178" s="1011"/>
      <c r="K178" s="1011"/>
      <c r="L178" s="1011"/>
      <c r="M178" s="1011"/>
      <c r="N178" s="1011"/>
      <c r="O178" s="1011"/>
      <c r="P178" s="1011"/>
      <c r="Q178" s="1011"/>
      <c r="R178" s="1011"/>
      <c r="S178" s="1011"/>
      <c r="T178" s="1011"/>
      <c r="U178" s="1011"/>
      <c r="V178" s="1011"/>
      <c r="W178" s="1011"/>
      <c r="X178" s="1011"/>
      <c r="Y178" s="1011"/>
      <c r="Z178" s="1011"/>
      <c r="AA178" s="1011"/>
      <c r="AB178" s="1011"/>
      <c r="AC178" s="1011"/>
      <c r="AD178" s="1011"/>
      <c r="AE178" s="1011"/>
      <c r="AF178" s="1011"/>
      <c r="AG178" s="1011"/>
      <c r="AH178" s="1011"/>
      <c r="AI178" s="1011"/>
      <c r="AJ178" s="1011"/>
      <c r="AK178" s="1011"/>
      <c r="AL178" s="1011"/>
      <c r="AM178" s="1011"/>
      <c r="AN178" s="1011"/>
      <c r="AO178" s="1011"/>
      <c r="AP178" s="1011"/>
      <c r="AQ178" s="1011"/>
      <c r="AR178" s="1011"/>
      <c r="AS178" s="1011"/>
      <c r="AT178" s="1011"/>
    </row>
    <row r="179" spans="1:46" ht="7.5" customHeight="1">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row>
    <row r="180" spans="1:46" ht="7.5" customHeight="1">
      <c r="A180" s="1007" t="s">
        <v>185</v>
      </c>
      <c r="B180" s="1009" t="s">
        <v>190</v>
      </c>
      <c r="C180" s="1010"/>
      <c r="D180" s="1010"/>
      <c r="E180" s="1010"/>
      <c r="F180" s="1010"/>
      <c r="G180" s="1010"/>
      <c r="H180" s="1010"/>
      <c r="I180" s="1010"/>
      <c r="J180" s="1010"/>
      <c r="K180" s="1010"/>
      <c r="L180" s="1010"/>
      <c r="M180" s="1010"/>
      <c r="N180" s="1010"/>
      <c r="O180" s="1010"/>
      <c r="P180" s="1010"/>
      <c r="Q180" s="1010"/>
      <c r="R180" s="1010"/>
      <c r="S180" s="1010"/>
      <c r="T180" s="1010"/>
      <c r="U180" s="1010"/>
      <c r="V180" s="1010"/>
      <c r="W180" s="1010"/>
      <c r="X180" s="1010"/>
      <c r="Y180" s="1010"/>
      <c r="Z180" s="1010"/>
      <c r="AA180" s="1010"/>
      <c r="AB180" s="1010"/>
      <c r="AC180" s="1010"/>
      <c r="AD180" s="1010"/>
      <c r="AE180" s="1010"/>
      <c r="AF180" s="1010"/>
      <c r="AG180" s="1010"/>
      <c r="AH180" s="1010"/>
      <c r="AI180" s="1010"/>
      <c r="AJ180" s="1010"/>
      <c r="AK180" s="1010"/>
      <c r="AL180" s="1010"/>
      <c r="AM180" s="1010"/>
      <c r="AN180" s="1010"/>
      <c r="AO180" s="1010"/>
      <c r="AP180" s="1010"/>
      <c r="AQ180" s="1010"/>
      <c r="AR180" s="1010"/>
      <c r="AS180" s="1010"/>
      <c r="AT180" s="1010"/>
    </row>
    <row r="181" spans="1:46" ht="7.5" customHeight="1">
      <c r="A181" s="1008"/>
      <c r="B181" s="1010"/>
      <c r="C181" s="1010"/>
      <c r="D181" s="1010"/>
      <c r="E181" s="1010"/>
      <c r="F181" s="1010"/>
      <c r="G181" s="1010"/>
      <c r="H181" s="1010"/>
      <c r="I181" s="1010"/>
      <c r="J181" s="1010"/>
      <c r="K181" s="1010"/>
      <c r="L181" s="1010"/>
      <c r="M181" s="1010"/>
      <c r="N181" s="1010"/>
      <c r="O181" s="1010"/>
      <c r="P181" s="1010"/>
      <c r="Q181" s="1010"/>
      <c r="R181" s="1010"/>
      <c r="S181" s="1010"/>
      <c r="T181" s="1010"/>
      <c r="U181" s="1010"/>
      <c r="V181" s="1010"/>
      <c r="W181" s="1010"/>
      <c r="X181" s="1010"/>
      <c r="Y181" s="1010"/>
      <c r="Z181" s="1010"/>
      <c r="AA181" s="1010"/>
      <c r="AB181" s="1010"/>
      <c r="AC181" s="1010"/>
      <c r="AD181" s="1010"/>
      <c r="AE181" s="1010"/>
      <c r="AF181" s="1010"/>
      <c r="AG181" s="1010"/>
      <c r="AH181" s="1010"/>
      <c r="AI181" s="1010"/>
      <c r="AJ181" s="1010"/>
      <c r="AK181" s="1010"/>
      <c r="AL181" s="1010"/>
      <c r="AM181" s="1010"/>
      <c r="AN181" s="1010"/>
      <c r="AO181" s="1010"/>
      <c r="AP181" s="1010"/>
      <c r="AQ181" s="1010"/>
      <c r="AR181" s="1010"/>
      <c r="AS181" s="1010"/>
      <c r="AT181" s="1010"/>
    </row>
    <row r="182" spans="1:46" ht="7.5" customHeight="1">
      <c r="A182" s="1007" t="s">
        <v>185</v>
      </c>
      <c r="B182" s="1009" t="s">
        <v>191</v>
      </c>
      <c r="C182" s="1010"/>
      <c r="D182" s="1010"/>
      <c r="E182" s="1010"/>
      <c r="F182" s="1010"/>
      <c r="G182" s="1010"/>
      <c r="H182" s="1010"/>
      <c r="I182" s="1010"/>
      <c r="J182" s="1010"/>
      <c r="K182" s="1010"/>
      <c r="L182" s="1010"/>
      <c r="M182" s="1010"/>
      <c r="N182" s="1010"/>
      <c r="O182" s="1010"/>
      <c r="P182" s="1010"/>
      <c r="Q182" s="1010"/>
      <c r="R182" s="1010"/>
      <c r="S182" s="1010"/>
      <c r="T182" s="1010"/>
      <c r="U182" s="1010"/>
      <c r="V182" s="1010"/>
      <c r="W182" s="1010"/>
      <c r="X182" s="1010"/>
      <c r="Y182" s="1010"/>
      <c r="Z182" s="1010"/>
      <c r="AA182" s="1010"/>
      <c r="AB182" s="1010"/>
      <c r="AC182" s="1010"/>
      <c r="AD182" s="1010"/>
      <c r="AE182" s="1010"/>
      <c r="AF182" s="1010"/>
      <c r="AG182" s="1010"/>
      <c r="AH182" s="1010"/>
      <c r="AI182" s="1010"/>
      <c r="AJ182" s="1010"/>
      <c r="AK182" s="1010"/>
      <c r="AL182" s="1010"/>
      <c r="AM182" s="1010"/>
      <c r="AN182" s="1010"/>
      <c r="AO182" s="1010"/>
      <c r="AP182" s="1010"/>
      <c r="AQ182" s="1010"/>
      <c r="AR182" s="1010"/>
      <c r="AS182" s="1010"/>
      <c r="AT182" s="1010"/>
    </row>
    <row r="183" spans="1:46" ht="7.5" customHeight="1">
      <c r="A183" s="1008"/>
      <c r="B183" s="1010"/>
      <c r="C183" s="1010"/>
      <c r="D183" s="1010"/>
      <c r="E183" s="1010"/>
      <c r="F183" s="1010"/>
      <c r="G183" s="1010"/>
      <c r="H183" s="1010"/>
      <c r="I183" s="1010"/>
      <c r="J183" s="1010"/>
      <c r="K183" s="1010"/>
      <c r="L183" s="1010"/>
      <c r="M183" s="1010"/>
      <c r="N183" s="1010"/>
      <c r="O183" s="1010"/>
      <c r="P183" s="1010"/>
      <c r="Q183" s="1010"/>
      <c r="R183" s="1010"/>
      <c r="S183" s="1010"/>
      <c r="T183" s="1010"/>
      <c r="U183" s="1010"/>
      <c r="V183" s="1010"/>
      <c r="W183" s="1010"/>
      <c r="X183" s="1010"/>
      <c r="Y183" s="1010"/>
      <c r="Z183" s="1010"/>
      <c r="AA183" s="1010"/>
      <c r="AB183" s="1010"/>
      <c r="AC183" s="1010"/>
      <c r="AD183" s="1010"/>
      <c r="AE183" s="1010"/>
      <c r="AF183" s="1010"/>
      <c r="AG183" s="1010"/>
      <c r="AH183" s="1010"/>
      <c r="AI183" s="1010"/>
      <c r="AJ183" s="1010"/>
      <c r="AK183" s="1010"/>
      <c r="AL183" s="1010"/>
      <c r="AM183" s="1010"/>
      <c r="AN183" s="1010"/>
      <c r="AO183" s="1010"/>
      <c r="AP183" s="1010"/>
      <c r="AQ183" s="1010"/>
      <c r="AR183" s="1010"/>
      <c r="AS183" s="1010"/>
      <c r="AT183" s="1010"/>
    </row>
    <row r="184" spans="1:46" ht="7.5" customHeight="1">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row>
    <row r="185" spans="1:46" ht="7.5" customHeight="1">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row>
    <row r="186" spans="1:46" ht="7.5" customHeight="1">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row>
    <row r="187" spans="1:46" ht="7.5" customHeight="1">
      <c r="A187" s="1011" t="s">
        <v>192</v>
      </c>
      <c r="B187" s="1011"/>
      <c r="C187" s="1011"/>
      <c r="D187" s="1011"/>
      <c r="E187" s="1011"/>
      <c r="F187" s="1011"/>
      <c r="G187" s="1011"/>
      <c r="H187" s="1011"/>
      <c r="I187" s="1011"/>
      <c r="J187" s="1011"/>
      <c r="K187" s="1011"/>
      <c r="L187" s="1011"/>
      <c r="M187" s="1011"/>
      <c r="N187" s="1011"/>
      <c r="O187" s="1011"/>
      <c r="P187" s="1011"/>
      <c r="Q187" s="1011"/>
      <c r="R187" s="1011"/>
      <c r="S187" s="1011"/>
      <c r="T187" s="1011"/>
      <c r="U187" s="1011"/>
      <c r="V187" s="1011"/>
      <c r="W187" s="1011"/>
      <c r="X187" s="1011"/>
      <c r="Y187" s="1011"/>
      <c r="Z187" s="1011"/>
      <c r="AA187" s="1011"/>
      <c r="AB187" s="1011"/>
      <c r="AC187" s="1011"/>
      <c r="AD187" s="1011"/>
      <c r="AE187" s="1011"/>
      <c r="AF187" s="1011"/>
      <c r="AG187" s="1011"/>
      <c r="AH187" s="1011"/>
      <c r="AI187" s="1011"/>
      <c r="AJ187" s="1011"/>
      <c r="AK187" s="1011"/>
      <c r="AL187" s="1011"/>
      <c r="AM187" s="1011"/>
      <c r="AN187" s="1011"/>
      <c r="AO187" s="1011"/>
      <c r="AP187" s="1011"/>
      <c r="AQ187" s="1011"/>
      <c r="AR187" s="1011"/>
      <c r="AS187" s="1011"/>
      <c r="AT187" s="1011"/>
    </row>
    <row r="188" spans="1:46" ht="7.5" customHeight="1">
      <c r="A188" s="1011"/>
      <c r="B188" s="1011"/>
      <c r="C188" s="1011"/>
      <c r="D188" s="1011"/>
      <c r="E188" s="1011"/>
      <c r="F188" s="1011"/>
      <c r="G188" s="1011"/>
      <c r="H188" s="1011"/>
      <c r="I188" s="1011"/>
      <c r="J188" s="1011"/>
      <c r="K188" s="1011"/>
      <c r="L188" s="1011"/>
      <c r="M188" s="1011"/>
      <c r="N188" s="1011"/>
      <c r="O188" s="1011"/>
      <c r="P188" s="1011"/>
      <c r="Q188" s="1011"/>
      <c r="R188" s="1011"/>
      <c r="S188" s="1011"/>
      <c r="T188" s="1011"/>
      <c r="U188" s="1011"/>
      <c r="V188" s="1011"/>
      <c r="W188" s="1011"/>
      <c r="X188" s="1011"/>
      <c r="Y188" s="1011"/>
      <c r="Z188" s="1011"/>
      <c r="AA188" s="1011"/>
      <c r="AB188" s="1011"/>
      <c r="AC188" s="1011"/>
      <c r="AD188" s="1011"/>
      <c r="AE188" s="1011"/>
      <c r="AF188" s="1011"/>
      <c r="AG188" s="1011"/>
      <c r="AH188" s="1011"/>
      <c r="AI188" s="1011"/>
      <c r="AJ188" s="1011"/>
      <c r="AK188" s="1011"/>
      <c r="AL188" s="1011"/>
      <c r="AM188" s="1011"/>
      <c r="AN188" s="1011"/>
      <c r="AO188" s="1011"/>
      <c r="AP188" s="1011"/>
      <c r="AQ188" s="1011"/>
      <c r="AR188" s="1011"/>
      <c r="AS188" s="1011"/>
      <c r="AT188" s="1011"/>
    </row>
    <row r="189" spans="1:46" ht="7.5" customHeight="1">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row>
    <row r="190" spans="1:46" ht="7.5" customHeight="1">
      <c r="A190" s="1009" t="s">
        <v>193</v>
      </c>
      <c r="B190" s="1009"/>
      <c r="C190" s="1009"/>
      <c r="D190" s="1009"/>
      <c r="E190" s="1009"/>
      <c r="F190" s="1009"/>
      <c r="G190" s="1009"/>
      <c r="H190" s="1021"/>
      <c r="I190" s="1021"/>
      <c r="J190" s="1021"/>
      <c r="K190" s="1021"/>
      <c r="L190" s="1021"/>
      <c r="M190" s="107"/>
      <c r="N190" s="107"/>
      <c r="O190" s="107"/>
      <c r="P190" s="107"/>
      <c r="Q190" s="107"/>
      <c r="R190" s="107"/>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row>
    <row r="191" spans="1:46" ht="7.5" customHeight="1">
      <c r="A191" s="1009"/>
      <c r="B191" s="1009"/>
      <c r="C191" s="1009"/>
      <c r="D191" s="1009"/>
      <c r="E191" s="1009"/>
      <c r="F191" s="1009"/>
      <c r="G191" s="1009"/>
      <c r="H191" s="1021"/>
      <c r="I191" s="1021"/>
      <c r="J191" s="1021"/>
      <c r="K191" s="1021"/>
      <c r="L191" s="1021"/>
      <c r="M191" s="107"/>
      <c r="N191" s="107"/>
      <c r="O191" s="107"/>
      <c r="P191" s="107"/>
      <c r="Q191" s="107"/>
      <c r="R191" s="107"/>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row>
    <row r="192" spans="1:46" ht="7.5" customHeight="1">
      <c r="A192" s="1009" t="s">
        <v>194</v>
      </c>
      <c r="B192" s="1010"/>
      <c r="C192" s="1010"/>
      <c r="D192" s="1010"/>
      <c r="E192" s="1010"/>
      <c r="F192" s="1010"/>
      <c r="G192" s="1010"/>
      <c r="H192" s="1009" t="s">
        <v>195</v>
      </c>
      <c r="I192" s="1009"/>
      <c r="J192" s="1009"/>
      <c r="K192" s="1009"/>
      <c r="L192" s="1009"/>
      <c r="M192" s="1009"/>
      <c r="N192" s="1009"/>
      <c r="O192" s="1009"/>
      <c r="P192" s="1009"/>
      <c r="Q192" s="1009"/>
      <c r="R192" s="1009"/>
      <c r="S192" s="1009"/>
      <c r="T192" s="1009"/>
      <c r="U192" s="1009"/>
    </row>
    <row r="193" spans="1:21" ht="7.5" customHeight="1">
      <c r="A193" s="1010"/>
      <c r="B193" s="1010"/>
      <c r="C193" s="1010"/>
      <c r="D193" s="1010"/>
      <c r="E193" s="1010"/>
      <c r="F193" s="1010"/>
      <c r="G193" s="1010"/>
      <c r="H193" s="1009"/>
      <c r="I193" s="1009"/>
      <c r="J193" s="1009"/>
      <c r="K193" s="1009"/>
      <c r="L193" s="1009"/>
      <c r="M193" s="1009"/>
      <c r="N193" s="1009"/>
      <c r="O193" s="1009"/>
      <c r="P193" s="1009"/>
      <c r="Q193" s="1009"/>
      <c r="R193" s="1009"/>
      <c r="S193" s="1009"/>
      <c r="T193" s="1009"/>
      <c r="U193" s="1009"/>
    </row>
    <row r="194" spans="1:21" ht="7.5" customHeight="1">
      <c r="A194" s="1009" t="s">
        <v>196</v>
      </c>
      <c r="B194" s="1010"/>
      <c r="C194" s="1010"/>
      <c r="D194" s="1010"/>
      <c r="E194" s="1010"/>
      <c r="F194" s="1010"/>
      <c r="G194" s="1010"/>
      <c r="H194" s="1199">
        <v>910001400</v>
      </c>
      <c r="I194" s="1199"/>
      <c r="J194" s="1199"/>
      <c r="K194" s="1199"/>
      <c r="L194" s="1199"/>
      <c r="M194" s="1199"/>
      <c r="N194" s="1199"/>
      <c r="O194" s="1199"/>
      <c r="P194" s="1199"/>
      <c r="Q194" s="1199"/>
      <c r="R194" s="1199"/>
      <c r="S194" s="1199"/>
      <c r="T194" s="1199"/>
      <c r="U194" s="1199"/>
    </row>
    <row r="195" spans="1:21" ht="7.5" customHeight="1">
      <c r="A195" s="1010"/>
      <c r="B195" s="1010"/>
      <c r="C195" s="1010"/>
      <c r="D195" s="1010"/>
      <c r="E195" s="1010"/>
      <c r="F195" s="1010"/>
      <c r="G195" s="1010"/>
      <c r="H195" s="1199"/>
      <c r="I195" s="1199"/>
      <c r="J195" s="1199"/>
      <c r="K195" s="1199"/>
      <c r="L195" s="1199"/>
      <c r="M195" s="1199"/>
      <c r="N195" s="1199"/>
      <c r="O195" s="1199"/>
      <c r="P195" s="1199"/>
      <c r="Q195" s="1199"/>
      <c r="R195" s="1199"/>
      <c r="S195" s="1199"/>
      <c r="T195" s="1199"/>
      <c r="U195" s="1199"/>
    </row>
    <row r="196" spans="1:21" ht="7.5" customHeight="1">
      <c r="A196" s="1009" t="s">
        <v>197</v>
      </c>
      <c r="B196" s="1010"/>
      <c r="C196" s="1010"/>
      <c r="D196" s="1010"/>
      <c r="E196" s="1010"/>
      <c r="F196" s="1010"/>
      <c r="G196" s="1010"/>
      <c r="H196" s="1009" t="s">
        <v>198</v>
      </c>
      <c r="I196" s="1009"/>
      <c r="J196" s="1009"/>
      <c r="K196" s="1009"/>
      <c r="L196" s="1009"/>
      <c r="M196" s="1009"/>
      <c r="N196" s="1009"/>
      <c r="O196" s="1009"/>
      <c r="P196" s="1009"/>
      <c r="Q196" s="1009"/>
      <c r="R196" s="1009"/>
      <c r="S196" s="1009"/>
      <c r="T196" s="1009"/>
      <c r="U196" s="1009"/>
    </row>
    <row r="197" spans="1:21" ht="7.5" customHeight="1">
      <c r="A197" s="1010"/>
      <c r="B197" s="1010"/>
      <c r="C197" s="1010"/>
      <c r="D197" s="1010"/>
      <c r="E197" s="1010"/>
      <c r="F197" s="1010"/>
      <c r="G197" s="1010"/>
      <c r="H197" s="1009"/>
      <c r="I197" s="1009"/>
      <c r="J197" s="1009"/>
      <c r="K197" s="1009"/>
      <c r="L197" s="1009"/>
      <c r="M197" s="1009"/>
      <c r="N197" s="1009"/>
      <c r="O197" s="1009"/>
      <c r="P197" s="1009"/>
      <c r="Q197" s="1009"/>
      <c r="R197" s="1009"/>
      <c r="S197" s="1009"/>
      <c r="T197" s="1009"/>
      <c r="U197" s="1009"/>
    </row>
    <row r="198" spans="1:21" ht="7.5" customHeight="1">
      <c r="A198" s="1009" t="s">
        <v>199</v>
      </c>
      <c r="B198" s="1010"/>
      <c r="C198" s="1010"/>
      <c r="D198" s="1010"/>
      <c r="E198" s="1010"/>
      <c r="F198" s="1010"/>
      <c r="G198" s="1010"/>
      <c r="H198" s="1010"/>
      <c r="I198" s="1010"/>
      <c r="J198" s="1010"/>
      <c r="K198" s="1010"/>
      <c r="L198" s="1010"/>
      <c r="M198" s="1010"/>
      <c r="N198" s="1010"/>
      <c r="O198" s="1010"/>
      <c r="P198" s="1010"/>
      <c r="Q198" s="1010"/>
      <c r="R198" s="1010"/>
      <c r="S198" s="1010"/>
      <c r="T198" s="1010"/>
      <c r="U198" s="1010"/>
    </row>
    <row r="199" spans="1:21" ht="7.5" customHeight="1">
      <c r="A199" s="1010"/>
      <c r="B199" s="1010"/>
      <c r="C199" s="1010"/>
      <c r="D199" s="1010"/>
      <c r="E199" s="1010"/>
      <c r="F199" s="1010"/>
      <c r="G199" s="1010"/>
      <c r="H199" s="1010"/>
      <c r="I199" s="1010"/>
      <c r="J199" s="1010"/>
      <c r="K199" s="1010"/>
      <c r="L199" s="1010"/>
      <c r="M199" s="1010"/>
      <c r="N199" s="1010"/>
      <c r="O199" s="1010"/>
      <c r="P199" s="1010"/>
      <c r="Q199" s="1010"/>
      <c r="R199" s="1010"/>
      <c r="S199" s="1010"/>
      <c r="T199" s="1010"/>
      <c r="U199" s="1010"/>
    </row>
    <row r="282" spans="22:25" ht="3.75" customHeight="1"/>
    <row r="283" spans="22:25" ht="10.5" customHeight="1">
      <c r="V283" s="999" t="s">
        <v>200</v>
      </c>
      <c r="W283" s="999"/>
      <c r="X283" s="999"/>
      <c r="Y283" s="105"/>
    </row>
  </sheetData>
  <sheetProtection sheet="1" selectLockedCells="1"/>
  <dataConsolidate>
    <dataRefs count="2">
      <dataRef ref="A27:L31" sheet="Grunddaten" r:id="rId1"/>
      <dataRef ref="B49" sheet="6_Beitragsgesuch_OSW" r:id="rId2"/>
    </dataRefs>
  </dataConsolidate>
  <mergeCells count="329">
    <mergeCell ref="AI65:AL65"/>
    <mergeCell ref="H60:W60"/>
    <mergeCell ref="B60:G60"/>
    <mergeCell ref="B65:F65"/>
    <mergeCell ref="G65:W65"/>
    <mergeCell ref="H196:U197"/>
    <mergeCell ref="H194:U195"/>
    <mergeCell ref="H192:U193"/>
    <mergeCell ref="AQ61:AT61"/>
    <mergeCell ref="B63:J63"/>
    <mergeCell ref="R63:W63"/>
    <mergeCell ref="L63:P63"/>
    <mergeCell ref="L64:W64"/>
    <mergeCell ref="B64:K64"/>
    <mergeCell ref="B61:G61"/>
    <mergeCell ref="H61:W61"/>
    <mergeCell ref="B62:G62"/>
    <mergeCell ref="H62:W62"/>
    <mergeCell ref="X61:Z61"/>
    <mergeCell ref="AA61:AD61"/>
    <mergeCell ref="AE61:AH61"/>
    <mergeCell ref="AI61:AL61"/>
    <mergeCell ref="AM61:AP61"/>
    <mergeCell ref="AI64:AL64"/>
    <mergeCell ref="AM60:AP60"/>
    <mergeCell ref="AQ60:AT60"/>
    <mergeCell ref="AM62:AP62"/>
    <mergeCell ref="AQ62:AT62"/>
    <mergeCell ref="AM63:AP63"/>
    <mergeCell ref="AQ63:AT63"/>
    <mergeCell ref="AM64:AP64"/>
    <mergeCell ref="AQ64:AT64"/>
    <mergeCell ref="AM65:AP65"/>
    <mergeCell ref="AQ65:AT65"/>
    <mergeCell ref="X58:Z58"/>
    <mergeCell ref="X60:Z60"/>
    <mergeCell ref="X62:Z62"/>
    <mergeCell ref="X63:Z63"/>
    <mergeCell ref="X64:Z64"/>
    <mergeCell ref="X65:Z65"/>
    <mergeCell ref="A60:A65"/>
    <mergeCell ref="AA65:AD65"/>
    <mergeCell ref="AE65:AH65"/>
    <mergeCell ref="A56:A59"/>
    <mergeCell ref="X59:Z59"/>
    <mergeCell ref="AA58:AD58"/>
    <mergeCell ref="AA59:AD59"/>
    <mergeCell ref="AA62:AD62"/>
    <mergeCell ref="AE62:AH62"/>
    <mergeCell ref="AA57:AD57"/>
    <mergeCell ref="AE59:AH59"/>
    <mergeCell ref="X57:Z57"/>
    <mergeCell ref="AI59:AL59"/>
    <mergeCell ref="AA60:AD60"/>
    <mergeCell ref="AE60:AH60"/>
    <mergeCell ref="AI60:AL60"/>
    <mergeCell ref="AA64:AD64"/>
    <mergeCell ref="AE64:AH64"/>
    <mergeCell ref="AI62:AL62"/>
    <mergeCell ref="AA63:AD63"/>
    <mergeCell ref="AE63:AH63"/>
    <mergeCell ref="AI63:AL63"/>
    <mergeCell ref="A16:AT16"/>
    <mergeCell ref="A17:B19"/>
    <mergeCell ref="C17:G19"/>
    <mergeCell ref="H17:J19"/>
    <mergeCell ref="K17:N19"/>
    <mergeCell ref="O17:R19"/>
    <mergeCell ref="S17:AC19"/>
    <mergeCell ref="AD17:AH19"/>
    <mergeCell ref="R52:S52"/>
    <mergeCell ref="T52:U52"/>
    <mergeCell ref="V52:W52"/>
    <mergeCell ref="AI17:AT19"/>
    <mergeCell ref="A20:AT20"/>
    <mergeCell ref="A22:A23"/>
    <mergeCell ref="B22:AT23"/>
    <mergeCell ref="B24:G27"/>
    <mergeCell ref="W24:Z27"/>
    <mergeCell ref="AA24:AM27"/>
    <mergeCell ref="AP24:AP25"/>
    <mergeCell ref="AQ24:AT25"/>
    <mergeCell ref="AP26:AP27"/>
    <mergeCell ref="H24:V27"/>
    <mergeCell ref="AQ26:AT27"/>
    <mergeCell ref="B28:G31"/>
    <mergeCell ref="R1:Z4"/>
    <mergeCell ref="AA1:AT2"/>
    <mergeCell ref="AA3:AT4"/>
    <mergeCell ref="A1:Q4"/>
    <mergeCell ref="A5:AT6"/>
    <mergeCell ref="A7:Z11"/>
    <mergeCell ref="AA7:AH9"/>
    <mergeCell ref="AI7:AT9"/>
    <mergeCell ref="AA10:AT15"/>
    <mergeCell ref="A12:Z15"/>
    <mergeCell ref="W28:Z31"/>
    <mergeCell ref="AA28:AM31"/>
    <mergeCell ref="AP28:AP29"/>
    <mergeCell ref="AQ28:AT29"/>
    <mergeCell ref="AP30:AP31"/>
    <mergeCell ref="AQ30:AT31"/>
    <mergeCell ref="H28:V31"/>
    <mergeCell ref="B32:G35"/>
    <mergeCell ref="W34:AN35"/>
    <mergeCell ref="B40:H42"/>
    <mergeCell ref="I40:K42"/>
    <mergeCell ref="AP34:AP35"/>
    <mergeCell ref="A38:A39"/>
    <mergeCell ref="B38:AT39"/>
    <mergeCell ref="H32:V35"/>
    <mergeCell ref="AF40:AI42"/>
    <mergeCell ref="S40:X42"/>
    <mergeCell ref="R40:R42"/>
    <mergeCell ref="L40:Q42"/>
    <mergeCell ref="Z40:AE42"/>
    <mergeCell ref="AM44:AT45"/>
    <mergeCell ref="AI46:AL48"/>
    <mergeCell ref="AM46:AP48"/>
    <mergeCell ref="AQ46:AT48"/>
    <mergeCell ref="A45:A46"/>
    <mergeCell ref="AE46:AH48"/>
    <mergeCell ref="X44:Z48"/>
    <mergeCell ref="AA44:AD48"/>
    <mergeCell ref="AE44:AL45"/>
    <mergeCell ref="B45:Q46"/>
    <mergeCell ref="B47:Q48"/>
    <mergeCell ref="R45:S48"/>
    <mergeCell ref="T45:U48"/>
    <mergeCell ref="V45:W48"/>
    <mergeCell ref="AI81:AS84"/>
    <mergeCell ref="AQ66:AT68"/>
    <mergeCell ref="A70:A71"/>
    <mergeCell ref="B70:AT71"/>
    <mergeCell ref="B73:AD74"/>
    <mergeCell ref="AI73:AM74"/>
    <mergeCell ref="AO73:AS74"/>
    <mergeCell ref="B66:W68"/>
    <mergeCell ref="X66:Z68"/>
    <mergeCell ref="AA66:AD68"/>
    <mergeCell ref="AE66:AH68"/>
    <mergeCell ref="AI66:AL68"/>
    <mergeCell ref="A66:A68"/>
    <mergeCell ref="AM66:AP68"/>
    <mergeCell ref="AI75:AN77"/>
    <mergeCell ref="AO75:AS77"/>
    <mergeCell ref="B76:AG84"/>
    <mergeCell ref="AI79:AS80"/>
    <mergeCell ref="A96:A97"/>
    <mergeCell ref="B96:AG97"/>
    <mergeCell ref="AI96:AS97"/>
    <mergeCell ref="B98:AG103"/>
    <mergeCell ref="AI98:AT99"/>
    <mergeCell ref="A87:A88"/>
    <mergeCell ref="B87:AG88"/>
    <mergeCell ref="AI87:AS88"/>
    <mergeCell ref="B89:F90"/>
    <mergeCell ref="L89:P90"/>
    <mergeCell ref="V89:AA90"/>
    <mergeCell ref="AI100:AS102"/>
    <mergeCell ref="AI89:AS90"/>
    <mergeCell ref="B91:K93"/>
    <mergeCell ref="L91:U93"/>
    <mergeCell ref="V91:AG93"/>
    <mergeCell ref="AI92:AQ93"/>
    <mergeCell ref="AR92:AR93"/>
    <mergeCell ref="V115:AA116"/>
    <mergeCell ref="AI115:AN116"/>
    <mergeCell ref="B117:K119"/>
    <mergeCell ref="L117:U119"/>
    <mergeCell ref="V117:AG119"/>
    <mergeCell ref="AI104:AQ105"/>
    <mergeCell ref="AI118:AM119"/>
    <mergeCell ref="AN118:AN119"/>
    <mergeCell ref="A122:A123"/>
    <mergeCell ref="B122:AC123"/>
    <mergeCell ref="AF122:AS123"/>
    <mergeCell ref="A111:A112"/>
    <mergeCell ref="B111:AT112"/>
    <mergeCell ref="B115:F116"/>
    <mergeCell ref="L115:P116"/>
    <mergeCell ref="B106:K108"/>
    <mergeCell ref="L106:U108"/>
    <mergeCell ref="V106:AG108"/>
    <mergeCell ref="AI107:AS108"/>
    <mergeCell ref="B104:F105"/>
    <mergeCell ref="L104:P105"/>
    <mergeCell ref="V104:AG105"/>
    <mergeCell ref="AR104:AR105"/>
    <mergeCell ref="B113:AT114"/>
    <mergeCell ref="AF129:AS131"/>
    <mergeCell ref="B130:F131"/>
    <mergeCell ref="N130:P131"/>
    <mergeCell ref="B132:K134"/>
    <mergeCell ref="N132:W134"/>
    <mergeCell ref="AF132:AQ133"/>
    <mergeCell ref="AF134:AS135"/>
    <mergeCell ref="A198:U199"/>
    <mergeCell ref="V283:X283"/>
    <mergeCell ref="A187:AT188"/>
    <mergeCell ref="A190:G191"/>
    <mergeCell ref="H190:L191"/>
    <mergeCell ref="A192:G193"/>
    <mergeCell ref="A194:G195"/>
    <mergeCell ref="A177:AT178"/>
    <mergeCell ref="A180:A181"/>
    <mergeCell ref="B180:AT181"/>
    <mergeCell ref="AM154:AP155"/>
    <mergeCell ref="A196:G197"/>
    <mergeCell ref="B166:AS169"/>
    <mergeCell ref="AA154:AD155"/>
    <mergeCell ref="A170:A171"/>
    <mergeCell ref="B170:AS173"/>
    <mergeCell ref="A148:AT149"/>
    <mergeCell ref="A150:Z154"/>
    <mergeCell ref="AA150:AT153"/>
    <mergeCell ref="A182:A183"/>
    <mergeCell ref="B182:AT183"/>
    <mergeCell ref="A159:AT159"/>
    <mergeCell ref="A161:AS162"/>
    <mergeCell ref="A164:A165"/>
    <mergeCell ref="B164:AS165"/>
    <mergeCell ref="A166:A167"/>
    <mergeCell ref="B124:O125"/>
    <mergeCell ref="P124:AB125"/>
    <mergeCell ref="B126:K128"/>
    <mergeCell ref="L126:O128"/>
    <mergeCell ref="P126:X128"/>
    <mergeCell ref="Y126:AB128"/>
    <mergeCell ref="AQ154:AT155"/>
    <mergeCell ref="A155:Z158"/>
    <mergeCell ref="AA156:AD158"/>
    <mergeCell ref="AE156:AH158"/>
    <mergeCell ref="AI156:AL158"/>
    <mergeCell ref="AM156:AP158"/>
    <mergeCell ref="AQ156:AT158"/>
    <mergeCell ref="B136:G140"/>
    <mergeCell ref="H136:S140"/>
    <mergeCell ref="A144:S147"/>
    <mergeCell ref="T144:AA147"/>
    <mergeCell ref="AB144:AT145"/>
    <mergeCell ref="AB146:AT147"/>
    <mergeCell ref="AE137:AI138"/>
    <mergeCell ref="AJ137:AS140"/>
    <mergeCell ref="V141:X141"/>
    <mergeCell ref="AE154:AH155"/>
    <mergeCell ref="AI154:AL155"/>
    <mergeCell ref="A49:A55"/>
    <mergeCell ref="B53:H53"/>
    <mergeCell ref="B54:H54"/>
    <mergeCell ref="B55:H55"/>
    <mergeCell ref="B52:Q52"/>
    <mergeCell ref="B50:Q50"/>
    <mergeCell ref="B51:Q51"/>
    <mergeCell ref="B59:W59"/>
    <mergeCell ref="B56:W56"/>
    <mergeCell ref="B57:W57"/>
    <mergeCell ref="B58:W58"/>
    <mergeCell ref="B49:Q49"/>
    <mergeCell ref="I53:W53"/>
    <mergeCell ref="I54:W54"/>
    <mergeCell ref="R49:S49"/>
    <mergeCell ref="T49:U49"/>
    <mergeCell ref="V49:W49"/>
    <mergeCell ref="R50:S50"/>
    <mergeCell ref="T50:U50"/>
    <mergeCell ref="V50:W50"/>
    <mergeCell ref="R51:S51"/>
    <mergeCell ref="T51:U51"/>
    <mergeCell ref="V51:W51"/>
    <mergeCell ref="I55:W55"/>
    <mergeCell ref="AQ55:AT55"/>
    <mergeCell ref="X49:Z49"/>
    <mergeCell ref="X50:Z50"/>
    <mergeCell ref="X51:Z51"/>
    <mergeCell ref="X52:Z52"/>
    <mergeCell ref="X53:Z53"/>
    <mergeCell ref="X54:Z54"/>
    <mergeCell ref="X55:Z55"/>
    <mergeCell ref="X56:Z56"/>
    <mergeCell ref="AA55:AD55"/>
    <mergeCell ref="AA56:AD56"/>
    <mergeCell ref="AE55:AH55"/>
    <mergeCell ref="AI55:AL55"/>
    <mergeCell ref="AE56:AH56"/>
    <mergeCell ref="AI56:AL56"/>
    <mergeCell ref="AA49:AD49"/>
    <mergeCell ref="AA50:AD50"/>
    <mergeCell ref="AA51:AD51"/>
    <mergeCell ref="AA52:AD52"/>
    <mergeCell ref="AA53:AD53"/>
    <mergeCell ref="AA54:AD54"/>
    <mergeCell ref="AQ49:AT49"/>
    <mergeCell ref="AE50:AH50"/>
    <mergeCell ref="AI50:AL50"/>
    <mergeCell ref="AE52:AH52"/>
    <mergeCell ref="AM50:AP50"/>
    <mergeCell ref="AQ50:AT50"/>
    <mergeCell ref="AE51:AH51"/>
    <mergeCell ref="AI51:AL51"/>
    <mergeCell ref="AM51:AP51"/>
    <mergeCell ref="AQ51:AT51"/>
    <mergeCell ref="AE49:AH49"/>
    <mergeCell ref="AI49:AL49"/>
    <mergeCell ref="AM49:AP49"/>
    <mergeCell ref="AM55:AP55"/>
    <mergeCell ref="AI52:AL52"/>
    <mergeCell ref="AM56:AP56"/>
    <mergeCell ref="AM59:AP59"/>
    <mergeCell ref="AQ59:AT59"/>
    <mergeCell ref="AM52:AP52"/>
    <mergeCell ref="AQ52:AT52"/>
    <mergeCell ref="AE53:AH53"/>
    <mergeCell ref="AI53:AL53"/>
    <mergeCell ref="AM53:AP53"/>
    <mergeCell ref="AQ53:AT53"/>
    <mergeCell ref="AE54:AH54"/>
    <mergeCell ref="AI54:AL54"/>
    <mergeCell ref="AM54:AP54"/>
    <mergeCell ref="AQ54:AT54"/>
    <mergeCell ref="AE58:AH58"/>
    <mergeCell ref="AI58:AL58"/>
    <mergeCell ref="AM58:AP58"/>
    <mergeCell ref="AQ58:AT58"/>
    <mergeCell ref="AE57:AH57"/>
    <mergeCell ref="AI57:AL57"/>
    <mergeCell ref="AM57:AP57"/>
    <mergeCell ref="AQ57:AT57"/>
    <mergeCell ref="AQ56:AT56"/>
  </mergeCells>
  <pageMargins left="0.78740157480314965" right="0.78740157480314965" top="0.39370078740157483" bottom="0.31496062992125984" header="0.51181102362204722" footer="0.19685039370078741"/>
  <pageSetup paperSize="9" scale="66" fitToHeight="0" orientation="portrait" r:id="rId3"/>
  <headerFooter alignWithMargins="0"/>
  <rowBreaks count="1" manualBreakCount="1">
    <brk id="14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74760" r:id="rId6" name="Check Box 8">
              <controlPr locked="0" defaultSize="0" autoFill="0" autoLine="0" autoPict="0">
                <anchor moveWithCells="1">
                  <from>
                    <xdr:col>40</xdr:col>
                    <xdr:colOff>171450</xdr:colOff>
                    <xdr:row>23</xdr:row>
                    <xdr:rowOff>9525</xdr:rowOff>
                  </from>
                  <to>
                    <xdr:col>42</xdr:col>
                    <xdr:colOff>76200</xdr:colOff>
                    <xdr:row>24</xdr:row>
                    <xdr:rowOff>85725</xdr:rowOff>
                  </to>
                </anchor>
              </controlPr>
            </control>
          </mc:Choice>
        </mc:AlternateContent>
        <mc:AlternateContent xmlns:mc="http://schemas.openxmlformats.org/markup-compatibility/2006">
          <mc:Choice Requires="x14">
            <control shapeId="74763" r:id="rId7" name="Check Box 11">
              <controlPr locked="0" defaultSize="0" autoFill="0" autoLine="0" autoPict="0">
                <anchor moveWithCells="1">
                  <from>
                    <xdr:col>40</xdr:col>
                    <xdr:colOff>171450</xdr:colOff>
                    <xdr:row>27</xdr:row>
                    <xdr:rowOff>9525</xdr:rowOff>
                  </from>
                  <to>
                    <xdr:col>42</xdr:col>
                    <xdr:colOff>76200</xdr:colOff>
                    <xdr:row>28</xdr:row>
                    <xdr:rowOff>85725</xdr:rowOff>
                  </to>
                </anchor>
              </controlPr>
            </control>
          </mc:Choice>
        </mc:AlternateContent>
        <mc:AlternateContent xmlns:mc="http://schemas.openxmlformats.org/markup-compatibility/2006">
          <mc:Choice Requires="x14">
            <control shapeId="74764" r:id="rId8" name="Check Box 12">
              <controlPr locked="0" defaultSize="0" autoFill="0" autoLine="0" autoPict="0">
                <anchor moveWithCells="1">
                  <from>
                    <xdr:col>40</xdr:col>
                    <xdr:colOff>171450</xdr:colOff>
                    <xdr:row>29</xdr:row>
                    <xdr:rowOff>9525</xdr:rowOff>
                  </from>
                  <to>
                    <xdr:col>42</xdr:col>
                    <xdr:colOff>76200</xdr:colOff>
                    <xdr:row>30</xdr:row>
                    <xdr:rowOff>85725</xdr:rowOff>
                  </to>
                </anchor>
              </controlPr>
            </control>
          </mc:Choice>
        </mc:AlternateContent>
        <mc:AlternateContent xmlns:mc="http://schemas.openxmlformats.org/markup-compatibility/2006">
          <mc:Choice Requires="x14">
            <control shapeId="74765" r:id="rId9" name="Check Box 13">
              <controlPr locked="0" defaultSize="0" autoFill="0" autoLine="0" autoPict="0">
                <anchor moveWithCells="1">
                  <from>
                    <xdr:col>40</xdr:col>
                    <xdr:colOff>171450</xdr:colOff>
                    <xdr:row>33</xdr:row>
                    <xdr:rowOff>9525</xdr:rowOff>
                  </from>
                  <to>
                    <xdr:col>42</xdr:col>
                    <xdr:colOff>76200</xdr:colOff>
                    <xdr:row>34</xdr:row>
                    <xdr:rowOff>85725</xdr:rowOff>
                  </to>
                </anchor>
              </controlPr>
            </control>
          </mc:Choice>
        </mc:AlternateContent>
        <mc:AlternateContent xmlns:mc="http://schemas.openxmlformats.org/markup-compatibility/2006">
          <mc:Choice Requires="x14">
            <control shapeId="74766" r:id="rId10" name="Check Box 14">
              <controlPr locked="0" defaultSize="0" autoFill="0" autoLine="0" autoPict="0">
                <anchor moveWithCells="1">
                  <from>
                    <xdr:col>40</xdr:col>
                    <xdr:colOff>171450</xdr:colOff>
                    <xdr:row>25</xdr:row>
                    <xdr:rowOff>9525</xdr:rowOff>
                  </from>
                  <to>
                    <xdr:col>42</xdr:col>
                    <xdr:colOff>76200</xdr:colOff>
                    <xdr:row>26</xdr:row>
                    <xdr:rowOff>85725</xdr:rowOff>
                  </to>
                </anchor>
              </controlPr>
            </control>
          </mc:Choice>
        </mc:AlternateContent>
        <mc:AlternateContent xmlns:mc="http://schemas.openxmlformats.org/markup-compatibility/2006">
          <mc:Choice Requires="x14">
            <control shapeId="74778" r:id="rId11" name="Check Box 26">
              <controlPr locked="0" defaultSize="0" autoFill="0" autoLine="0" autoPict="0">
                <anchor moveWithCells="1">
                  <from>
                    <xdr:col>9</xdr:col>
                    <xdr:colOff>180975</xdr:colOff>
                    <xdr:row>62</xdr:row>
                    <xdr:rowOff>9525</xdr:rowOff>
                  </from>
                  <to>
                    <xdr:col>11</xdr:col>
                    <xdr:colOff>66675</xdr:colOff>
                    <xdr:row>62</xdr:row>
                    <xdr:rowOff>180975</xdr:rowOff>
                  </to>
                </anchor>
              </controlPr>
            </control>
          </mc:Choice>
        </mc:AlternateContent>
        <mc:AlternateContent xmlns:mc="http://schemas.openxmlformats.org/markup-compatibility/2006">
          <mc:Choice Requires="x14">
            <control shapeId="74780" r:id="rId12" name="Check Box 28">
              <controlPr locked="0" defaultSize="0" autoFill="0" autoLine="0" autoPict="0">
                <anchor moveWithCells="1">
                  <from>
                    <xdr:col>15</xdr:col>
                    <xdr:colOff>171450</xdr:colOff>
                    <xdr:row>62</xdr:row>
                    <xdr:rowOff>9525</xdr:rowOff>
                  </from>
                  <to>
                    <xdr:col>17</xdr:col>
                    <xdr:colOff>57150</xdr:colOff>
                    <xdr:row>62</xdr:row>
                    <xdr:rowOff>180975</xdr:rowOff>
                  </to>
                </anchor>
              </controlPr>
            </control>
          </mc:Choice>
        </mc:AlternateContent>
        <mc:AlternateContent xmlns:mc="http://schemas.openxmlformats.org/markup-compatibility/2006">
          <mc:Choice Requires="x14">
            <control shapeId="74792" r:id="rId13" name="Drop Down 40">
              <controlPr defaultSize="0" autoLine="0" autoPict="0">
                <anchor moveWithCells="1">
                  <from>
                    <xdr:col>1</xdr:col>
                    <xdr:colOff>9525</xdr:colOff>
                    <xdr:row>55</xdr:row>
                    <xdr:rowOff>9525</xdr:rowOff>
                  </from>
                  <to>
                    <xdr:col>22</xdr:col>
                    <xdr:colOff>171450</xdr:colOff>
                    <xdr:row>55</xdr:row>
                    <xdr:rowOff>180975</xdr:rowOff>
                  </to>
                </anchor>
              </controlPr>
            </control>
          </mc:Choice>
        </mc:AlternateContent>
        <mc:AlternateContent xmlns:mc="http://schemas.openxmlformats.org/markup-compatibility/2006">
          <mc:Choice Requires="x14">
            <control shapeId="74793" r:id="rId14" name="Drop Down 41">
              <controlPr defaultSize="0" autoLine="0" autoPict="0">
                <anchor moveWithCells="1">
                  <from>
                    <xdr:col>1</xdr:col>
                    <xdr:colOff>9525</xdr:colOff>
                    <xdr:row>56</xdr:row>
                    <xdr:rowOff>9525</xdr:rowOff>
                  </from>
                  <to>
                    <xdr:col>22</xdr:col>
                    <xdr:colOff>171450</xdr:colOff>
                    <xdr:row>56</xdr:row>
                    <xdr:rowOff>180975</xdr:rowOff>
                  </to>
                </anchor>
              </controlPr>
            </control>
          </mc:Choice>
        </mc:AlternateContent>
        <mc:AlternateContent xmlns:mc="http://schemas.openxmlformats.org/markup-compatibility/2006">
          <mc:Choice Requires="x14">
            <control shapeId="74794" r:id="rId15" name="Drop Down 42">
              <controlPr defaultSize="0" autoLine="0" autoPict="0">
                <anchor moveWithCells="1">
                  <from>
                    <xdr:col>1</xdr:col>
                    <xdr:colOff>9525</xdr:colOff>
                    <xdr:row>57</xdr:row>
                    <xdr:rowOff>0</xdr:rowOff>
                  </from>
                  <to>
                    <xdr:col>22</xdr:col>
                    <xdr:colOff>171450</xdr:colOff>
                    <xdr:row>57</xdr:row>
                    <xdr:rowOff>171450</xdr:rowOff>
                  </to>
                </anchor>
              </controlPr>
            </control>
          </mc:Choice>
        </mc:AlternateContent>
        <mc:AlternateContent xmlns:mc="http://schemas.openxmlformats.org/markup-compatibility/2006">
          <mc:Choice Requires="x14">
            <control shapeId="74795" r:id="rId16" name="Drop Down 43">
              <controlPr defaultSize="0" autoLine="0" autoPict="0">
                <anchor moveWithCells="1">
                  <from>
                    <xdr:col>1</xdr:col>
                    <xdr:colOff>19050</xdr:colOff>
                    <xdr:row>49</xdr:row>
                    <xdr:rowOff>19050</xdr:rowOff>
                  </from>
                  <to>
                    <xdr:col>17</xdr:col>
                    <xdr:colOff>0</xdr:colOff>
                    <xdr:row>49</xdr:row>
                    <xdr:rowOff>180975</xdr:rowOff>
                  </to>
                </anchor>
              </controlPr>
            </control>
          </mc:Choice>
        </mc:AlternateContent>
        <mc:AlternateContent xmlns:mc="http://schemas.openxmlformats.org/markup-compatibility/2006">
          <mc:Choice Requires="x14">
            <control shapeId="74796" r:id="rId17" name="Drop Down 44">
              <controlPr defaultSize="0" autoLine="0" autoPict="0">
                <anchor moveWithCells="1">
                  <from>
                    <xdr:col>1</xdr:col>
                    <xdr:colOff>19050</xdr:colOff>
                    <xdr:row>50</xdr:row>
                    <xdr:rowOff>9525</xdr:rowOff>
                  </from>
                  <to>
                    <xdr:col>17</xdr:col>
                    <xdr:colOff>0</xdr:colOff>
                    <xdr:row>50</xdr:row>
                    <xdr:rowOff>180975</xdr:rowOff>
                  </to>
                </anchor>
              </controlPr>
            </control>
          </mc:Choice>
        </mc:AlternateContent>
        <mc:AlternateContent xmlns:mc="http://schemas.openxmlformats.org/markup-compatibility/2006">
          <mc:Choice Requires="x14">
            <control shapeId="74797" r:id="rId18" name="Drop Down 45">
              <controlPr defaultSize="0" autoLine="0" autoPict="0">
                <anchor moveWithCells="1">
                  <from>
                    <xdr:col>1</xdr:col>
                    <xdr:colOff>19050</xdr:colOff>
                    <xdr:row>51</xdr:row>
                    <xdr:rowOff>9525</xdr:rowOff>
                  </from>
                  <to>
                    <xdr:col>17</xdr:col>
                    <xdr:colOff>0</xdr:colOff>
                    <xdr:row>51</xdr:row>
                    <xdr:rowOff>180975</xdr:rowOff>
                  </to>
                </anchor>
              </controlPr>
            </control>
          </mc:Choice>
        </mc:AlternateContent>
        <mc:AlternateContent xmlns:mc="http://schemas.openxmlformats.org/markup-compatibility/2006">
          <mc:Choice Requires="x14">
            <control shapeId="74798" r:id="rId19" name="Drop Down 46">
              <controlPr defaultSize="0" autoLine="0" autoPict="0">
                <anchor moveWithCells="1">
                  <from>
                    <xdr:col>17</xdr:col>
                    <xdr:colOff>0</xdr:colOff>
                    <xdr:row>49</xdr:row>
                    <xdr:rowOff>9525</xdr:rowOff>
                  </from>
                  <to>
                    <xdr:col>19</xdr:col>
                    <xdr:colOff>0</xdr:colOff>
                    <xdr:row>49</xdr:row>
                    <xdr:rowOff>180975</xdr:rowOff>
                  </to>
                </anchor>
              </controlPr>
            </control>
          </mc:Choice>
        </mc:AlternateContent>
        <mc:AlternateContent xmlns:mc="http://schemas.openxmlformats.org/markup-compatibility/2006">
          <mc:Choice Requires="x14">
            <control shapeId="74799" r:id="rId20" name="Drop Down 47">
              <controlPr defaultSize="0" autoLine="0" autoPict="0">
                <anchor moveWithCells="1">
                  <from>
                    <xdr:col>17</xdr:col>
                    <xdr:colOff>0</xdr:colOff>
                    <xdr:row>50</xdr:row>
                    <xdr:rowOff>9525</xdr:rowOff>
                  </from>
                  <to>
                    <xdr:col>19</xdr:col>
                    <xdr:colOff>0</xdr:colOff>
                    <xdr:row>50</xdr:row>
                    <xdr:rowOff>180975</xdr:rowOff>
                  </to>
                </anchor>
              </controlPr>
            </control>
          </mc:Choice>
        </mc:AlternateContent>
        <mc:AlternateContent xmlns:mc="http://schemas.openxmlformats.org/markup-compatibility/2006">
          <mc:Choice Requires="x14">
            <control shapeId="74800" r:id="rId21" name="Drop Down 48">
              <controlPr defaultSize="0" autoLine="0" autoPict="0">
                <anchor moveWithCells="1">
                  <from>
                    <xdr:col>17</xdr:col>
                    <xdr:colOff>0</xdr:colOff>
                    <xdr:row>51</xdr:row>
                    <xdr:rowOff>9525</xdr:rowOff>
                  </from>
                  <to>
                    <xdr:col>19</xdr:col>
                    <xdr:colOff>0</xdr:colOff>
                    <xdr:row>51</xdr:row>
                    <xdr:rowOff>180975</xdr:rowOff>
                  </to>
                </anchor>
              </controlPr>
            </control>
          </mc:Choice>
        </mc:AlternateContent>
        <mc:AlternateContent xmlns:mc="http://schemas.openxmlformats.org/markup-compatibility/2006">
          <mc:Choice Requires="x14">
            <control shapeId="74801" r:id="rId22" name="Drop Down 49">
              <controlPr defaultSize="0" autoLine="0" autoPict="0">
                <anchor moveWithCells="1">
                  <from>
                    <xdr:col>19</xdr:col>
                    <xdr:colOff>0</xdr:colOff>
                    <xdr:row>48</xdr:row>
                    <xdr:rowOff>9525</xdr:rowOff>
                  </from>
                  <to>
                    <xdr:col>21</xdr:col>
                    <xdr:colOff>0</xdr:colOff>
                    <xdr:row>48</xdr:row>
                    <xdr:rowOff>180975</xdr:rowOff>
                  </to>
                </anchor>
              </controlPr>
            </control>
          </mc:Choice>
        </mc:AlternateContent>
        <mc:AlternateContent xmlns:mc="http://schemas.openxmlformats.org/markup-compatibility/2006">
          <mc:Choice Requires="x14">
            <control shapeId="74802" r:id="rId23" name="Drop Down 50">
              <controlPr defaultSize="0" autoLine="0" autoPict="0">
                <anchor moveWithCells="1">
                  <from>
                    <xdr:col>19</xdr:col>
                    <xdr:colOff>0</xdr:colOff>
                    <xdr:row>49</xdr:row>
                    <xdr:rowOff>9525</xdr:rowOff>
                  </from>
                  <to>
                    <xdr:col>21</xdr:col>
                    <xdr:colOff>0</xdr:colOff>
                    <xdr:row>49</xdr:row>
                    <xdr:rowOff>180975</xdr:rowOff>
                  </to>
                </anchor>
              </controlPr>
            </control>
          </mc:Choice>
        </mc:AlternateContent>
        <mc:AlternateContent xmlns:mc="http://schemas.openxmlformats.org/markup-compatibility/2006">
          <mc:Choice Requires="x14">
            <control shapeId="74803" r:id="rId24" name="Drop Down 51">
              <controlPr defaultSize="0" autoLine="0" autoPict="0">
                <anchor moveWithCells="1">
                  <from>
                    <xdr:col>19</xdr:col>
                    <xdr:colOff>0</xdr:colOff>
                    <xdr:row>50</xdr:row>
                    <xdr:rowOff>9525</xdr:rowOff>
                  </from>
                  <to>
                    <xdr:col>21</xdr:col>
                    <xdr:colOff>0</xdr:colOff>
                    <xdr:row>50</xdr:row>
                    <xdr:rowOff>180975</xdr:rowOff>
                  </to>
                </anchor>
              </controlPr>
            </control>
          </mc:Choice>
        </mc:AlternateContent>
        <mc:AlternateContent xmlns:mc="http://schemas.openxmlformats.org/markup-compatibility/2006">
          <mc:Choice Requires="x14">
            <control shapeId="74804" r:id="rId25" name="Drop Down 52">
              <controlPr defaultSize="0" autoLine="0" autoPict="0">
                <anchor moveWithCells="1">
                  <from>
                    <xdr:col>19</xdr:col>
                    <xdr:colOff>0</xdr:colOff>
                    <xdr:row>51</xdr:row>
                    <xdr:rowOff>9525</xdr:rowOff>
                  </from>
                  <to>
                    <xdr:col>21</xdr:col>
                    <xdr:colOff>0</xdr:colOff>
                    <xdr:row>51</xdr:row>
                    <xdr:rowOff>180975</xdr:rowOff>
                  </to>
                </anchor>
              </controlPr>
            </control>
          </mc:Choice>
        </mc:AlternateContent>
        <mc:AlternateContent xmlns:mc="http://schemas.openxmlformats.org/markup-compatibility/2006">
          <mc:Choice Requires="x14">
            <control shapeId="74805" r:id="rId26" name="Drop Down 53">
              <controlPr defaultSize="0" autoLine="0" autoPict="0">
                <anchor moveWithCells="1">
                  <from>
                    <xdr:col>21</xdr:col>
                    <xdr:colOff>0</xdr:colOff>
                    <xdr:row>48</xdr:row>
                    <xdr:rowOff>9525</xdr:rowOff>
                  </from>
                  <to>
                    <xdr:col>23</xdr:col>
                    <xdr:colOff>0</xdr:colOff>
                    <xdr:row>48</xdr:row>
                    <xdr:rowOff>180975</xdr:rowOff>
                  </to>
                </anchor>
              </controlPr>
            </control>
          </mc:Choice>
        </mc:AlternateContent>
        <mc:AlternateContent xmlns:mc="http://schemas.openxmlformats.org/markup-compatibility/2006">
          <mc:Choice Requires="x14">
            <control shapeId="74806" r:id="rId27" name="Drop Down 54">
              <controlPr defaultSize="0" autoLine="0" autoPict="0">
                <anchor moveWithCells="1">
                  <from>
                    <xdr:col>21</xdr:col>
                    <xdr:colOff>0</xdr:colOff>
                    <xdr:row>49</xdr:row>
                    <xdr:rowOff>9525</xdr:rowOff>
                  </from>
                  <to>
                    <xdr:col>23</xdr:col>
                    <xdr:colOff>0</xdr:colOff>
                    <xdr:row>49</xdr:row>
                    <xdr:rowOff>180975</xdr:rowOff>
                  </to>
                </anchor>
              </controlPr>
            </control>
          </mc:Choice>
        </mc:AlternateContent>
        <mc:AlternateContent xmlns:mc="http://schemas.openxmlformats.org/markup-compatibility/2006">
          <mc:Choice Requires="x14">
            <control shapeId="74807" r:id="rId28" name="Drop Down 55">
              <controlPr defaultSize="0" autoLine="0" autoPict="0">
                <anchor moveWithCells="1">
                  <from>
                    <xdr:col>21</xdr:col>
                    <xdr:colOff>0</xdr:colOff>
                    <xdr:row>50</xdr:row>
                    <xdr:rowOff>9525</xdr:rowOff>
                  </from>
                  <to>
                    <xdr:col>23</xdr:col>
                    <xdr:colOff>0</xdr:colOff>
                    <xdr:row>50</xdr:row>
                    <xdr:rowOff>180975</xdr:rowOff>
                  </to>
                </anchor>
              </controlPr>
            </control>
          </mc:Choice>
        </mc:AlternateContent>
        <mc:AlternateContent xmlns:mc="http://schemas.openxmlformats.org/markup-compatibility/2006">
          <mc:Choice Requires="x14">
            <control shapeId="74808" r:id="rId29" name="Drop Down 56">
              <controlPr defaultSize="0" autoLine="0" autoPict="0">
                <anchor moveWithCells="1">
                  <from>
                    <xdr:col>21</xdr:col>
                    <xdr:colOff>0</xdr:colOff>
                    <xdr:row>51</xdr:row>
                    <xdr:rowOff>9525</xdr:rowOff>
                  </from>
                  <to>
                    <xdr:col>23</xdr:col>
                    <xdr:colOff>0</xdr:colOff>
                    <xdr:row>51</xdr:row>
                    <xdr:rowOff>180975</xdr:rowOff>
                  </to>
                </anchor>
              </controlPr>
            </control>
          </mc:Choice>
        </mc:AlternateContent>
        <mc:AlternateContent xmlns:mc="http://schemas.openxmlformats.org/markup-compatibility/2006">
          <mc:Choice Requires="x14">
            <control shapeId="74811" r:id="rId30" name="Drop Down 59">
              <controlPr defaultSize="0" autoLine="0" autoPict="0">
                <anchor moveWithCells="1">
                  <from>
                    <xdr:col>7</xdr:col>
                    <xdr:colOff>0</xdr:colOff>
                    <xdr:row>60</xdr:row>
                    <xdr:rowOff>9525</xdr:rowOff>
                  </from>
                  <to>
                    <xdr:col>22</xdr:col>
                    <xdr:colOff>180975</xdr:colOff>
                    <xdr:row>60</xdr:row>
                    <xdr:rowOff>180975</xdr:rowOff>
                  </to>
                </anchor>
              </controlPr>
            </control>
          </mc:Choice>
        </mc:AlternateContent>
        <mc:AlternateContent xmlns:mc="http://schemas.openxmlformats.org/markup-compatibility/2006">
          <mc:Choice Requires="x14">
            <control shapeId="74812" r:id="rId31" name="Drop Down 60">
              <controlPr defaultSize="0" autoLine="0" autoPict="0">
                <anchor moveWithCells="1">
                  <from>
                    <xdr:col>7</xdr:col>
                    <xdr:colOff>0</xdr:colOff>
                    <xdr:row>61</xdr:row>
                    <xdr:rowOff>9525</xdr:rowOff>
                  </from>
                  <to>
                    <xdr:col>22</xdr:col>
                    <xdr:colOff>180975</xdr:colOff>
                    <xdr:row>61</xdr:row>
                    <xdr:rowOff>171450</xdr:rowOff>
                  </to>
                </anchor>
              </controlPr>
            </control>
          </mc:Choice>
        </mc:AlternateContent>
        <mc:AlternateContent xmlns:mc="http://schemas.openxmlformats.org/markup-compatibility/2006">
          <mc:Choice Requires="x14">
            <control shapeId="74816" r:id="rId32" name="Drop Down 64">
              <controlPr defaultSize="0" autoLine="0" autoPict="0">
                <anchor moveWithCells="1">
                  <from>
                    <xdr:col>6</xdr:col>
                    <xdr:colOff>19050</xdr:colOff>
                    <xdr:row>64</xdr:row>
                    <xdr:rowOff>9525</xdr:rowOff>
                  </from>
                  <to>
                    <xdr:col>22</xdr:col>
                    <xdr:colOff>180975</xdr:colOff>
                    <xdr:row>64</xdr:row>
                    <xdr:rowOff>180975</xdr:rowOff>
                  </to>
                </anchor>
              </controlPr>
            </control>
          </mc:Choice>
        </mc:AlternateContent>
        <mc:AlternateContent xmlns:mc="http://schemas.openxmlformats.org/markup-compatibility/2006">
          <mc:Choice Requires="x14">
            <control shapeId="74818" r:id="rId33" name="Drop Down 66">
              <controlPr defaultSize="0" autoLine="0" autoPict="0">
                <anchor moveWithCells="1">
                  <from>
                    <xdr:col>21</xdr:col>
                    <xdr:colOff>0</xdr:colOff>
                    <xdr:row>51</xdr:row>
                    <xdr:rowOff>9525</xdr:rowOff>
                  </from>
                  <to>
                    <xdr:col>23</xdr:col>
                    <xdr:colOff>0</xdr:colOff>
                    <xdr:row>51</xdr:row>
                    <xdr:rowOff>180975</xdr:rowOff>
                  </to>
                </anchor>
              </controlPr>
            </control>
          </mc:Choice>
        </mc:AlternateContent>
        <mc:AlternateContent xmlns:mc="http://schemas.openxmlformats.org/markup-compatibility/2006">
          <mc:Choice Requires="x14">
            <control shapeId="74819" r:id="rId34" name="Drop Down 67">
              <controlPr defaultSize="0" autoLine="0" autoPict="0">
                <anchor moveWithCells="1">
                  <from>
                    <xdr:col>1</xdr:col>
                    <xdr:colOff>19050</xdr:colOff>
                    <xdr:row>48</xdr:row>
                    <xdr:rowOff>19050</xdr:rowOff>
                  </from>
                  <to>
                    <xdr:col>17</xdr:col>
                    <xdr:colOff>0</xdr:colOff>
                    <xdr:row>48</xdr:row>
                    <xdr:rowOff>180975</xdr:rowOff>
                  </to>
                </anchor>
              </controlPr>
            </control>
          </mc:Choice>
        </mc:AlternateContent>
        <mc:AlternateContent xmlns:mc="http://schemas.openxmlformats.org/markup-compatibility/2006">
          <mc:Choice Requires="x14">
            <control shapeId="74820" r:id="rId35" name="Drop Down 68">
              <controlPr defaultSize="0" autoLine="0" autoPict="0">
                <anchor moveWithCells="1">
                  <from>
                    <xdr:col>17</xdr:col>
                    <xdr:colOff>0</xdr:colOff>
                    <xdr:row>48</xdr:row>
                    <xdr:rowOff>9525</xdr:rowOff>
                  </from>
                  <to>
                    <xdr:col>19</xdr:col>
                    <xdr:colOff>0</xdr:colOff>
                    <xdr:row>48</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8" tint="0.79998168889431442"/>
  </sheetPr>
  <dimension ref="A1:D137"/>
  <sheetViews>
    <sheetView zoomScaleNormal="100" workbookViewId="0">
      <selection sqref="A1:B1"/>
    </sheetView>
  </sheetViews>
  <sheetFormatPr baseColWidth="10" defaultRowHeight="12.75"/>
  <cols>
    <col min="1" max="1" width="4.7109375" style="460" customWidth="1"/>
    <col min="2" max="2" width="38.7109375" style="459" customWidth="1"/>
    <col min="3" max="3" width="6.7109375" style="459" customWidth="1"/>
    <col min="4" max="4" width="38.7109375" style="459" customWidth="1"/>
    <col min="5" max="16384" width="11.42578125" style="7"/>
  </cols>
  <sheetData>
    <row r="1" spans="1:4" s="486" customFormat="1" ht="22.5" customHeight="1">
      <c r="A1" s="1223" t="s">
        <v>1021</v>
      </c>
      <c r="B1" s="1223"/>
      <c r="C1" s="1223" t="s">
        <v>1022</v>
      </c>
      <c r="D1" s="1223"/>
    </row>
    <row r="2" spans="1:4" s="447" customFormat="1" ht="15.75">
      <c r="A2" s="448"/>
      <c r="B2" s="448"/>
      <c r="C2" s="448"/>
      <c r="D2" s="448"/>
    </row>
    <row r="3" spans="1:4" s="447" customFormat="1" ht="18">
      <c r="A3" s="1201" t="s">
        <v>517</v>
      </c>
      <c r="B3" s="1201"/>
      <c r="C3" s="1201"/>
      <c r="D3" s="1201"/>
    </row>
    <row r="4" spans="1:4" s="447" customFormat="1" ht="15.75">
      <c r="A4" s="449"/>
      <c r="B4" s="449"/>
      <c r="C4" s="449"/>
      <c r="D4" s="449"/>
    </row>
    <row r="5" spans="1:4" s="451" customFormat="1" ht="15">
      <c r="A5" s="450" t="s">
        <v>568</v>
      </c>
      <c r="B5" s="1203" t="s">
        <v>569</v>
      </c>
      <c r="C5" s="1203"/>
      <c r="D5" s="1203"/>
    </row>
    <row r="6" spans="1:4" s="447" customFormat="1" ht="71.25" customHeight="1">
      <c r="A6" s="452"/>
      <c r="B6" s="1202" t="s">
        <v>518</v>
      </c>
      <c r="C6" s="1202"/>
      <c r="D6" s="1202"/>
    </row>
    <row r="7" spans="1:4" s="447" customFormat="1">
      <c r="A7" s="1205"/>
      <c r="B7" s="1205"/>
      <c r="C7" s="1205"/>
      <c r="D7" s="1205"/>
    </row>
    <row r="8" spans="1:4" s="447" customFormat="1" ht="15">
      <c r="A8" s="450" t="s">
        <v>570</v>
      </c>
      <c r="B8" s="1203" t="s">
        <v>571</v>
      </c>
      <c r="C8" s="1203"/>
      <c r="D8" s="1203"/>
    </row>
    <row r="9" spans="1:4" s="447" customFormat="1" ht="15">
      <c r="A9" s="450" t="s">
        <v>572</v>
      </c>
      <c r="B9" s="1203" t="s">
        <v>573</v>
      </c>
      <c r="C9" s="1203"/>
      <c r="D9" s="1203"/>
    </row>
    <row r="10" spans="1:4" s="447" customFormat="1" ht="14.25">
      <c r="A10" s="1206"/>
      <c r="B10" s="1204" t="s">
        <v>519</v>
      </c>
      <c r="C10" s="1204"/>
      <c r="D10" s="1204"/>
    </row>
    <row r="11" spans="1:4" s="447" customFormat="1" ht="49.5" customHeight="1">
      <c r="A11" s="1206"/>
      <c r="B11" s="445" t="s">
        <v>520</v>
      </c>
      <c r="C11" s="453" t="s">
        <v>521</v>
      </c>
      <c r="D11" s="446" t="s">
        <v>522</v>
      </c>
    </row>
    <row r="12" spans="1:4" s="447" customFormat="1" ht="14.25">
      <c r="A12" s="1206"/>
      <c r="B12" s="445" t="s">
        <v>523</v>
      </c>
      <c r="C12" s="455"/>
      <c r="D12" s="445" t="s">
        <v>523</v>
      </c>
    </row>
    <row r="13" spans="1:4" s="447" customFormat="1" ht="60" customHeight="1">
      <c r="A13" s="1206"/>
      <c r="B13" s="446" t="s">
        <v>524</v>
      </c>
      <c r="C13" s="455"/>
      <c r="D13" s="446" t="s">
        <v>528</v>
      </c>
    </row>
    <row r="14" spans="1:4" s="447" customFormat="1" ht="14.25">
      <c r="A14" s="1206"/>
      <c r="B14" s="445" t="s">
        <v>525</v>
      </c>
      <c r="C14" s="455"/>
      <c r="D14" s="445" t="s">
        <v>525</v>
      </c>
    </row>
    <row r="15" spans="1:4" s="447" customFormat="1" ht="14.25">
      <c r="A15" s="1206"/>
      <c r="B15" s="445" t="s">
        <v>526</v>
      </c>
      <c r="C15" s="455"/>
      <c r="D15" s="445" t="s">
        <v>529</v>
      </c>
    </row>
    <row r="16" spans="1:4" s="447" customFormat="1" ht="14.25">
      <c r="A16" s="1206"/>
      <c r="B16" s="445" t="s">
        <v>527</v>
      </c>
      <c r="C16" s="455"/>
      <c r="D16" s="445" t="s">
        <v>527</v>
      </c>
    </row>
    <row r="17" spans="1:4" s="447" customFormat="1" ht="14.25" customHeight="1">
      <c r="A17" s="1207"/>
      <c r="B17" s="1207"/>
      <c r="C17" s="1207"/>
      <c r="D17" s="1207"/>
    </row>
    <row r="18" spans="1:4" s="447" customFormat="1" ht="15">
      <c r="A18" s="450" t="s">
        <v>574</v>
      </c>
      <c r="B18" s="450" t="s">
        <v>575</v>
      </c>
      <c r="C18" s="455"/>
      <c r="D18" s="455"/>
    </row>
    <row r="19" spans="1:4" s="447" customFormat="1" ht="57.75" customHeight="1">
      <c r="A19" s="452"/>
      <c r="B19" s="1202" t="s">
        <v>530</v>
      </c>
      <c r="C19" s="1202"/>
      <c r="D19" s="1202"/>
    </row>
    <row r="20" spans="1:4" s="447" customFormat="1">
      <c r="A20" s="1205"/>
      <c r="B20" s="1205"/>
      <c r="C20" s="1205"/>
      <c r="D20" s="1205"/>
    </row>
    <row r="21" spans="1:4" s="447" customFormat="1" ht="15">
      <c r="A21" s="450" t="s">
        <v>576</v>
      </c>
      <c r="B21" s="1208" t="s">
        <v>577</v>
      </c>
      <c r="C21" s="1208"/>
      <c r="D21" s="1208"/>
    </row>
    <row r="22" spans="1:4" s="447" customFormat="1" ht="32.25" customHeight="1">
      <c r="A22" s="1206"/>
      <c r="B22" s="1202" t="s">
        <v>531</v>
      </c>
      <c r="C22" s="1202"/>
      <c r="D22" s="1202"/>
    </row>
    <row r="23" spans="1:4" s="447" customFormat="1" ht="47.25" customHeight="1">
      <c r="A23" s="1206"/>
      <c r="B23" s="1202" t="s">
        <v>532</v>
      </c>
      <c r="C23" s="1202"/>
      <c r="D23" s="1202"/>
    </row>
    <row r="24" spans="1:4" s="447" customFormat="1">
      <c r="A24" s="1207"/>
      <c r="B24" s="1207"/>
      <c r="C24" s="1207"/>
      <c r="D24" s="1207"/>
    </row>
    <row r="25" spans="1:4" s="447" customFormat="1" ht="15">
      <c r="A25" s="450" t="s">
        <v>578</v>
      </c>
      <c r="B25" s="1203" t="s">
        <v>579</v>
      </c>
      <c r="C25" s="1203"/>
      <c r="D25" s="1203"/>
    </row>
    <row r="26" spans="1:4" s="447" customFormat="1" ht="15">
      <c r="A26" s="450" t="s">
        <v>580</v>
      </c>
      <c r="B26" s="1203" t="s">
        <v>581</v>
      </c>
      <c r="C26" s="1203"/>
      <c r="D26" s="1203"/>
    </row>
    <row r="27" spans="1:4" s="447" customFormat="1" ht="46.5" customHeight="1">
      <c r="A27" s="452"/>
      <c r="B27" s="1202" t="s">
        <v>533</v>
      </c>
      <c r="C27" s="1202"/>
      <c r="D27" s="1202"/>
    </row>
    <row r="28" spans="1:4" s="447" customFormat="1" ht="14.25">
      <c r="A28" s="1209"/>
      <c r="B28" s="1209"/>
      <c r="C28" s="1209"/>
      <c r="D28" s="1209"/>
    </row>
    <row r="29" spans="1:4" s="447" customFormat="1" ht="15">
      <c r="A29" s="450" t="s">
        <v>582</v>
      </c>
      <c r="B29" s="450" t="s">
        <v>583</v>
      </c>
      <c r="C29" s="455"/>
      <c r="D29" s="455"/>
    </row>
    <row r="30" spans="1:4" s="447" customFormat="1" ht="90" customHeight="1">
      <c r="A30" s="452"/>
      <c r="B30" s="1202" t="s">
        <v>534</v>
      </c>
      <c r="C30" s="1202"/>
      <c r="D30" s="1202"/>
    </row>
    <row r="31" spans="1:4" s="447" customFormat="1">
      <c r="A31" s="1205"/>
      <c r="B31" s="1205"/>
      <c r="C31" s="1205"/>
      <c r="D31" s="1205"/>
    </row>
    <row r="32" spans="1:4" s="447" customFormat="1" ht="15">
      <c r="A32" s="450" t="s">
        <v>584</v>
      </c>
      <c r="B32" s="1203" t="s">
        <v>585</v>
      </c>
      <c r="C32" s="1203"/>
      <c r="D32" s="1203"/>
    </row>
    <row r="33" spans="1:4" s="447" customFormat="1" ht="15">
      <c r="A33" s="450" t="s">
        <v>586</v>
      </c>
      <c r="B33" s="1203" t="s">
        <v>483</v>
      </c>
      <c r="C33" s="1203"/>
      <c r="D33" s="1203"/>
    </row>
    <row r="34" spans="1:4" s="447" customFormat="1" ht="60.75" customHeight="1">
      <c r="A34" s="1206"/>
      <c r="B34" s="1202" t="s">
        <v>535</v>
      </c>
      <c r="C34" s="1202"/>
      <c r="D34" s="1202"/>
    </row>
    <row r="35" spans="1:4" s="447" customFormat="1" ht="14.25">
      <c r="A35" s="1206"/>
      <c r="B35" s="1202" t="s">
        <v>536</v>
      </c>
      <c r="C35" s="1202"/>
      <c r="D35" s="1202"/>
    </row>
    <row r="36" spans="1:4" s="447" customFormat="1" ht="14.25">
      <c r="A36" s="1209"/>
      <c r="B36" s="1209"/>
      <c r="C36" s="1209"/>
      <c r="D36" s="1209"/>
    </row>
    <row r="37" spans="1:4" s="447" customFormat="1" ht="15">
      <c r="A37" s="450" t="s">
        <v>587</v>
      </c>
      <c r="B37" s="1208" t="s">
        <v>588</v>
      </c>
      <c r="C37" s="1208"/>
      <c r="D37" s="1208"/>
    </row>
    <row r="38" spans="1:4" s="447" customFormat="1" ht="14.25">
      <c r="A38" s="1206"/>
      <c r="B38" s="1202" t="s">
        <v>537</v>
      </c>
      <c r="C38" s="1202"/>
      <c r="D38" s="1202"/>
    </row>
    <row r="39" spans="1:4" s="447" customFormat="1" ht="14.25">
      <c r="A39" s="1206"/>
      <c r="B39" s="1202" t="s">
        <v>538</v>
      </c>
      <c r="C39" s="1202"/>
      <c r="D39" s="1202"/>
    </row>
    <row r="40" spans="1:4" s="447" customFormat="1" ht="14.25">
      <c r="A40" s="1206"/>
      <c r="B40" s="1202" t="s">
        <v>539</v>
      </c>
      <c r="C40" s="1202"/>
      <c r="D40" s="1202"/>
    </row>
    <row r="41" spans="1:4" s="447" customFormat="1" ht="14.25">
      <c r="A41" s="1206"/>
      <c r="B41" s="1202" t="s">
        <v>540</v>
      </c>
      <c r="C41" s="1202"/>
      <c r="D41" s="1202"/>
    </row>
    <row r="42" spans="1:4" s="447" customFormat="1" ht="14.25">
      <c r="A42" s="1206"/>
      <c r="B42" s="1202" t="s">
        <v>541</v>
      </c>
      <c r="C42" s="1202"/>
      <c r="D42" s="1202"/>
    </row>
    <row r="43" spans="1:4" s="447" customFormat="1" ht="14.25">
      <c r="A43" s="1206"/>
      <c r="B43" s="1202" t="s">
        <v>542</v>
      </c>
      <c r="C43" s="1202"/>
      <c r="D43" s="1202"/>
    </row>
    <row r="44" spans="1:4" s="447" customFormat="1" ht="14.25">
      <c r="A44" s="1206"/>
      <c r="B44" s="1202" t="s">
        <v>543</v>
      </c>
      <c r="C44" s="1202"/>
      <c r="D44" s="1202"/>
    </row>
    <row r="45" spans="1:4" s="447" customFormat="1" ht="90" customHeight="1">
      <c r="A45" s="1206"/>
      <c r="B45" s="1202" t="s">
        <v>544</v>
      </c>
      <c r="C45" s="1202"/>
      <c r="D45" s="1202"/>
    </row>
    <row r="46" spans="1:4" s="447" customFormat="1">
      <c r="A46" s="1205"/>
      <c r="B46" s="1205"/>
      <c r="C46" s="1205"/>
      <c r="D46" s="1205"/>
    </row>
    <row r="47" spans="1:4" s="447" customFormat="1" ht="15">
      <c r="A47" s="450" t="s">
        <v>589</v>
      </c>
      <c r="B47" s="1203" t="s">
        <v>590</v>
      </c>
      <c r="C47" s="1203"/>
      <c r="D47" s="1203"/>
    </row>
    <row r="48" spans="1:4" s="447" customFormat="1" ht="14.25">
      <c r="A48" s="1206"/>
      <c r="B48" s="1202" t="s">
        <v>545</v>
      </c>
      <c r="C48" s="1202"/>
      <c r="D48" s="1202"/>
    </row>
    <row r="49" spans="1:4" s="447" customFormat="1" ht="15">
      <c r="A49" s="1206"/>
      <c r="B49" s="1210" t="s">
        <v>546</v>
      </c>
      <c r="C49" s="1210"/>
      <c r="D49" s="1210"/>
    </row>
    <row r="50" spans="1:4" s="456" customFormat="1" ht="34.5" customHeight="1">
      <c r="A50" s="1206"/>
      <c r="B50" s="1210" t="s">
        <v>547</v>
      </c>
      <c r="C50" s="1210"/>
      <c r="D50" s="1210"/>
    </row>
    <row r="51" spans="1:4" s="456" customFormat="1" ht="34.5" customHeight="1">
      <c r="A51" s="1206"/>
      <c r="B51" s="1210" t="s">
        <v>548</v>
      </c>
      <c r="C51" s="1210"/>
      <c r="D51" s="1210"/>
    </row>
    <row r="52" spans="1:4" s="447" customFormat="1" ht="34.5" customHeight="1">
      <c r="A52" s="1206"/>
      <c r="B52" s="1210" t="s">
        <v>549</v>
      </c>
      <c r="C52" s="1210"/>
      <c r="D52" s="1210"/>
    </row>
    <row r="53" spans="1:4" s="447" customFormat="1">
      <c r="A53" s="1205"/>
      <c r="B53" s="1205"/>
      <c r="C53" s="1205"/>
      <c r="D53" s="1205"/>
    </row>
    <row r="54" spans="1:4" s="447" customFormat="1" ht="15">
      <c r="A54" s="450" t="s">
        <v>591</v>
      </c>
      <c r="B54" s="1208" t="s">
        <v>592</v>
      </c>
      <c r="C54" s="1208"/>
      <c r="D54" s="1208"/>
    </row>
    <row r="55" spans="1:4" s="447" customFormat="1" ht="63" customHeight="1">
      <c r="A55" s="452"/>
      <c r="B55" s="1202" t="s">
        <v>550</v>
      </c>
      <c r="C55" s="1202"/>
      <c r="D55" s="1202"/>
    </row>
    <row r="56" spans="1:4" s="447" customFormat="1">
      <c r="A56" s="1205"/>
      <c r="B56" s="1205"/>
      <c r="C56" s="1205"/>
      <c r="D56" s="1205"/>
    </row>
    <row r="57" spans="1:4" s="447" customFormat="1" ht="15">
      <c r="A57" s="450" t="s">
        <v>593</v>
      </c>
      <c r="B57" s="1208" t="s">
        <v>594</v>
      </c>
      <c r="C57" s="1208"/>
      <c r="D57" s="1208"/>
    </row>
    <row r="58" spans="1:4" s="447" customFormat="1" ht="32.25" customHeight="1">
      <c r="A58" s="452"/>
      <c r="B58" s="1202" t="s">
        <v>551</v>
      </c>
      <c r="C58" s="1202"/>
      <c r="D58" s="1202"/>
    </row>
    <row r="59" spans="1:4" s="447" customFormat="1">
      <c r="A59" s="1205"/>
      <c r="B59" s="1205"/>
      <c r="C59" s="1205"/>
      <c r="D59" s="1205"/>
    </row>
    <row r="60" spans="1:4" s="447" customFormat="1" ht="15">
      <c r="A60" s="450" t="s">
        <v>595</v>
      </c>
      <c r="B60" s="1208" t="s">
        <v>596</v>
      </c>
      <c r="C60" s="1208"/>
      <c r="D60" s="1208"/>
    </row>
    <row r="61" spans="1:4" s="447" customFormat="1" ht="46.5" customHeight="1">
      <c r="A61" s="452"/>
      <c r="B61" s="1202" t="s">
        <v>552</v>
      </c>
      <c r="C61" s="1202"/>
      <c r="D61" s="1202"/>
    </row>
    <row r="62" spans="1:4" s="447" customFormat="1" ht="14.25">
      <c r="A62" s="1209"/>
      <c r="B62" s="1209"/>
      <c r="C62" s="1209"/>
      <c r="D62" s="1209"/>
    </row>
    <row r="63" spans="1:4" s="447" customFormat="1" ht="30">
      <c r="A63" s="1206"/>
      <c r="B63" s="454" t="s">
        <v>553</v>
      </c>
      <c r="C63" s="1207"/>
      <c r="D63" s="454" t="s">
        <v>554</v>
      </c>
    </row>
    <row r="64" spans="1:4" s="447" customFormat="1" ht="14.25">
      <c r="A64" s="1206"/>
      <c r="B64" s="445" t="s">
        <v>555</v>
      </c>
      <c r="C64" s="1207"/>
      <c r="D64" s="445" t="s">
        <v>555</v>
      </c>
    </row>
    <row r="65" spans="1:4" s="447" customFormat="1" ht="12.75" customHeight="1">
      <c r="A65" s="1206"/>
      <c r="B65" s="1202"/>
      <c r="C65" s="1207"/>
      <c r="D65" s="1202"/>
    </row>
    <row r="66" spans="1:4" s="447" customFormat="1" ht="12.75" customHeight="1">
      <c r="A66" s="1206"/>
      <c r="B66" s="1202"/>
      <c r="C66" s="1207"/>
      <c r="D66" s="1202"/>
    </row>
    <row r="67" spans="1:4" s="447" customFormat="1" ht="12.75" customHeight="1">
      <c r="A67" s="1206"/>
      <c r="B67" s="1202"/>
      <c r="C67" s="1207"/>
      <c r="D67" s="1202"/>
    </row>
    <row r="68" spans="1:4" s="447" customFormat="1" ht="14.25">
      <c r="A68" s="1206"/>
      <c r="B68" s="445" t="s">
        <v>60</v>
      </c>
      <c r="C68" s="1207"/>
      <c r="D68" s="445" t="s">
        <v>60</v>
      </c>
    </row>
    <row r="69" spans="1:4" s="447" customFormat="1" ht="14.25">
      <c r="A69" s="1206"/>
      <c r="B69" s="445" t="s">
        <v>556</v>
      </c>
      <c r="C69" s="1207"/>
      <c r="D69" s="445" t="s">
        <v>556</v>
      </c>
    </row>
    <row r="70" spans="1:4" s="447" customFormat="1" ht="15">
      <c r="A70" s="1203"/>
      <c r="B70" s="1203"/>
      <c r="C70" s="1203"/>
      <c r="D70" s="1203"/>
    </row>
    <row r="71" spans="1:4" s="447" customFormat="1" ht="15">
      <c r="A71" s="1206"/>
      <c r="B71" s="1208" t="s">
        <v>557</v>
      </c>
      <c r="C71" s="1208"/>
      <c r="D71" s="1208"/>
    </row>
    <row r="72" spans="1:4" s="447" customFormat="1" ht="14.25">
      <c r="A72" s="1206"/>
      <c r="B72" s="1202" t="s">
        <v>558</v>
      </c>
      <c r="C72" s="1202"/>
      <c r="D72" s="1202"/>
    </row>
    <row r="73" spans="1:4" s="447" customFormat="1" ht="14.25">
      <c r="A73" s="1206"/>
      <c r="B73" s="1202" t="s">
        <v>559</v>
      </c>
      <c r="C73" s="1202"/>
      <c r="D73" s="1202"/>
    </row>
    <row r="74" spans="1:4" s="447" customFormat="1" ht="14.25">
      <c r="A74" s="1206"/>
      <c r="B74" s="1202" t="s">
        <v>560</v>
      </c>
      <c r="C74" s="1202"/>
      <c r="D74" s="1202"/>
    </row>
    <row r="75" spans="1:4" s="447" customFormat="1" ht="14.25">
      <c r="A75" s="1209"/>
      <c r="B75" s="1209"/>
      <c r="C75" s="1209"/>
      <c r="D75" s="1209"/>
    </row>
    <row r="76" spans="1:4" s="447" customFormat="1" ht="15">
      <c r="A76" s="1206"/>
      <c r="B76" s="1208" t="s">
        <v>561</v>
      </c>
      <c r="C76" s="1208"/>
      <c r="D76" s="1208"/>
    </row>
    <row r="77" spans="1:4" s="447" customFormat="1" ht="15">
      <c r="A77" s="1206"/>
      <c r="B77" s="1210" t="s">
        <v>562</v>
      </c>
      <c r="C77" s="1210"/>
      <c r="D77" s="1210"/>
    </row>
    <row r="78" spans="1:4" s="447" customFormat="1" ht="15">
      <c r="A78" s="1206"/>
      <c r="B78" s="1210" t="s">
        <v>563</v>
      </c>
      <c r="C78" s="1210"/>
      <c r="D78" s="1210"/>
    </row>
    <row r="79" spans="1:4" s="447" customFormat="1" ht="15">
      <c r="A79" s="1216"/>
      <c r="B79" s="1216"/>
      <c r="C79" s="1216"/>
      <c r="D79" s="1216"/>
    </row>
    <row r="80" spans="1:4" ht="20.25">
      <c r="A80" s="1217" t="s">
        <v>597</v>
      </c>
      <c r="B80" s="1217"/>
      <c r="C80" s="1217"/>
      <c r="D80" s="1217"/>
    </row>
    <row r="81" spans="1:4" ht="15">
      <c r="A81" s="1218"/>
      <c r="B81" s="1218"/>
      <c r="C81" s="1218"/>
      <c r="D81" s="1218"/>
    </row>
    <row r="82" spans="1:4" ht="15">
      <c r="A82" s="457" t="s">
        <v>635</v>
      </c>
      <c r="B82" s="458" t="s">
        <v>184</v>
      </c>
    </row>
    <row r="83" spans="1:4" ht="33" customHeight="1">
      <c r="A83" s="1213"/>
      <c r="B83" s="1211" t="s">
        <v>598</v>
      </c>
      <c r="C83" s="1211"/>
      <c r="D83" s="1211"/>
    </row>
    <row r="84" spans="1:4" ht="32.25" customHeight="1">
      <c r="A84" s="1213"/>
      <c r="B84" s="1211" t="s">
        <v>599</v>
      </c>
      <c r="C84" s="1211"/>
      <c r="D84" s="1211"/>
    </row>
    <row r="85" spans="1:4" ht="29.25" customHeight="1">
      <c r="A85" s="1213"/>
      <c r="B85" s="1211" t="s">
        <v>600</v>
      </c>
      <c r="C85" s="1211"/>
      <c r="D85" s="1211"/>
    </row>
    <row r="86" spans="1:4" ht="14.25">
      <c r="A86" s="1212"/>
      <c r="B86" s="1212"/>
      <c r="C86" s="1212"/>
      <c r="D86" s="1212"/>
    </row>
    <row r="87" spans="1:4" ht="15">
      <c r="A87" s="457" t="s">
        <v>570</v>
      </c>
      <c r="B87" s="1214" t="s">
        <v>636</v>
      </c>
      <c r="C87" s="1214"/>
      <c r="D87" s="1214"/>
    </row>
    <row r="88" spans="1:4" ht="15">
      <c r="A88" s="457" t="s">
        <v>572</v>
      </c>
      <c r="B88" s="1215" t="s">
        <v>637</v>
      </c>
      <c r="C88" s="1215"/>
      <c r="D88" s="1215"/>
    </row>
    <row r="89" spans="1:4" ht="47.25" customHeight="1">
      <c r="A89" s="1213"/>
      <c r="B89" s="1211" t="s">
        <v>601</v>
      </c>
      <c r="C89" s="1211"/>
      <c r="D89" s="1211"/>
    </row>
    <row r="90" spans="1:4" ht="44.25" customHeight="1">
      <c r="A90" s="1213"/>
      <c r="B90" s="1211" t="s">
        <v>602</v>
      </c>
      <c r="C90" s="1211"/>
      <c r="D90" s="1211"/>
    </row>
    <row r="91" spans="1:4" ht="45.75" customHeight="1">
      <c r="A91" s="1213"/>
      <c r="B91" s="1211" t="s">
        <v>639</v>
      </c>
      <c r="C91" s="1211"/>
      <c r="D91" s="1211"/>
    </row>
    <row r="92" spans="1:4" ht="15">
      <c r="A92" s="1213"/>
      <c r="B92" s="1211" t="s">
        <v>603</v>
      </c>
      <c r="C92" s="1211"/>
      <c r="D92" s="1211"/>
    </row>
    <row r="93" spans="1:4" ht="15">
      <c r="A93" s="1213"/>
      <c r="B93" s="1211" t="s">
        <v>604</v>
      </c>
      <c r="C93" s="1211"/>
      <c r="D93" s="1211"/>
    </row>
    <row r="94" spans="1:4" ht="30.75" customHeight="1">
      <c r="A94" s="1213"/>
      <c r="B94" s="1211" t="s">
        <v>605</v>
      </c>
      <c r="C94" s="1211"/>
      <c r="D94" s="1211"/>
    </row>
    <row r="95" spans="1:4" ht="30.75" customHeight="1">
      <c r="A95" s="1213"/>
      <c r="B95" s="1211" t="s">
        <v>606</v>
      </c>
      <c r="C95" s="1211"/>
      <c r="D95" s="1211"/>
    </row>
    <row r="96" spans="1:4" ht="30.75" customHeight="1">
      <c r="A96" s="1213"/>
      <c r="B96" s="1211" t="s">
        <v>607</v>
      </c>
      <c r="C96" s="1211"/>
      <c r="D96" s="1211"/>
    </row>
    <row r="97" spans="1:4" ht="30.75" customHeight="1">
      <c r="A97" s="1213"/>
      <c r="B97" s="1211" t="s">
        <v>608</v>
      </c>
      <c r="C97" s="1211"/>
      <c r="D97" s="1211"/>
    </row>
    <row r="98" spans="1:4" ht="30.75" customHeight="1">
      <c r="A98" s="1213"/>
      <c r="B98" s="1211" t="s">
        <v>609</v>
      </c>
      <c r="C98" s="1211"/>
      <c r="D98" s="1211"/>
    </row>
    <row r="99" spans="1:4" ht="15">
      <c r="A99" s="1219"/>
      <c r="B99" s="1219"/>
      <c r="C99" s="1219"/>
      <c r="D99" s="1219"/>
    </row>
    <row r="100" spans="1:4" ht="15">
      <c r="A100" s="457" t="s">
        <v>574</v>
      </c>
      <c r="B100" s="1220" t="s">
        <v>638</v>
      </c>
      <c r="C100" s="1220"/>
      <c r="D100" s="1220"/>
    </row>
    <row r="101" spans="1:4" ht="15">
      <c r="A101" s="1213"/>
      <c r="B101" s="1211" t="s">
        <v>610</v>
      </c>
      <c r="C101" s="1211"/>
      <c r="D101" s="1211"/>
    </row>
    <row r="102" spans="1:4" ht="32.25" customHeight="1">
      <c r="A102" s="1213"/>
      <c r="B102" s="1211" t="s">
        <v>611</v>
      </c>
      <c r="C102" s="1211"/>
      <c r="D102" s="1211"/>
    </row>
    <row r="103" spans="1:4" ht="47.25" customHeight="1">
      <c r="A103" s="1213"/>
      <c r="B103" s="1211" t="s">
        <v>612</v>
      </c>
      <c r="C103" s="1211"/>
      <c r="D103" s="1211"/>
    </row>
    <row r="104" spans="1:4" ht="15">
      <c r="A104" s="1213"/>
      <c r="B104" s="1211" t="s">
        <v>613</v>
      </c>
      <c r="C104" s="1211"/>
      <c r="D104" s="1211"/>
    </row>
    <row r="105" spans="1:4" ht="46.5" customHeight="1">
      <c r="A105" s="1213"/>
      <c r="B105" s="1211" t="s">
        <v>614</v>
      </c>
      <c r="C105" s="1211"/>
      <c r="D105" s="1211"/>
    </row>
    <row r="106" spans="1:4" ht="36" customHeight="1">
      <c r="A106" s="1213"/>
      <c r="B106" s="1211" t="s">
        <v>615</v>
      </c>
      <c r="C106" s="1211"/>
      <c r="D106" s="1211"/>
    </row>
    <row r="107" spans="1:4" ht="15">
      <c r="A107" s="1224"/>
      <c r="B107" s="1224"/>
      <c r="C107" s="1224"/>
      <c r="D107" s="1224"/>
    </row>
    <row r="108" spans="1:4" ht="15">
      <c r="A108" s="457" t="s">
        <v>640</v>
      </c>
      <c r="B108" s="1220" t="s">
        <v>641</v>
      </c>
      <c r="C108" s="1220"/>
      <c r="D108" s="1220"/>
    </row>
    <row r="109" spans="1:4" ht="30" customHeight="1">
      <c r="A109" s="1213"/>
      <c r="B109" s="1211" t="s">
        <v>616</v>
      </c>
      <c r="C109" s="1211"/>
      <c r="D109" s="1211"/>
    </row>
    <row r="110" spans="1:4" ht="30" customHeight="1">
      <c r="A110" s="1213"/>
      <c r="B110" s="1211" t="s">
        <v>617</v>
      </c>
      <c r="C110" s="1211"/>
      <c r="D110" s="1211"/>
    </row>
    <row r="111" spans="1:4" ht="30" customHeight="1">
      <c r="A111" s="1213"/>
      <c r="B111" s="1211" t="s">
        <v>615</v>
      </c>
      <c r="C111" s="1211"/>
      <c r="D111" s="1211"/>
    </row>
    <row r="112" spans="1:4" ht="45" customHeight="1">
      <c r="A112" s="1213"/>
      <c r="B112" s="1211" t="s">
        <v>618</v>
      </c>
      <c r="C112" s="1211"/>
      <c r="D112" s="1211"/>
    </row>
    <row r="113" spans="1:4" ht="15">
      <c r="A113" s="1213"/>
      <c r="B113" s="1211" t="s">
        <v>619</v>
      </c>
      <c r="C113" s="1211"/>
      <c r="D113" s="1211"/>
    </row>
    <row r="114" spans="1:4" ht="15">
      <c r="A114" s="1219"/>
      <c r="B114" s="1219"/>
      <c r="C114" s="1219"/>
      <c r="D114" s="1219"/>
    </row>
    <row r="115" spans="1:4" ht="15">
      <c r="A115" s="457" t="s">
        <v>642</v>
      </c>
      <c r="B115" s="1215" t="s">
        <v>643</v>
      </c>
      <c r="C115" s="1215"/>
      <c r="D115" s="1215"/>
    </row>
    <row r="116" spans="1:4" ht="45" customHeight="1">
      <c r="A116" s="1213"/>
      <c r="B116" s="1211" t="s">
        <v>620</v>
      </c>
      <c r="C116" s="1211"/>
      <c r="D116" s="1211"/>
    </row>
    <row r="117" spans="1:4" ht="60" customHeight="1">
      <c r="A117" s="1213"/>
      <c r="B117" s="1211" t="s">
        <v>621</v>
      </c>
      <c r="C117" s="1211"/>
      <c r="D117" s="1211"/>
    </row>
    <row r="118" spans="1:4" ht="30" customHeight="1">
      <c r="A118" s="1213"/>
      <c r="B118" s="1211" t="s">
        <v>622</v>
      </c>
      <c r="C118" s="1211"/>
      <c r="D118" s="1211"/>
    </row>
    <row r="119" spans="1:4" ht="30" customHeight="1">
      <c r="A119" s="1213"/>
      <c r="B119" s="1211" t="s">
        <v>623</v>
      </c>
      <c r="C119" s="1211"/>
      <c r="D119" s="1211"/>
    </row>
    <row r="120" spans="1:4" ht="30" customHeight="1">
      <c r="A120" s="1213"/>
      <c r="B120" s="1211" t="s">
        <v>624</v>
      </c>
      <c r="C120" s="1211"/>
      <c r="D120" s="1211"/>
    </row>
    <row r="121" spans="1:4" ht="29.25" customHeight="1">
      <c r="A121" s="1213"/>
      <c r="B121" s="1211" t="s">
        <v>625</v>
      </c>
      <c r="C121" s="1211"/>
      <c r="D121" s="1211"/>
    </row>
    <row r="122" spans="1:4" ht="14.25">
      <c r="A122" s="1212"/>
      <c r="B122" s="1212"/>
      <c r="C122" s="1212"/>
      <c r="D122" s="1212"/>
    </row>
    <row r="123" spans="1:4" ht="15">
      <c r="A123" s="457" t="s">
        <v>576</v>
      </c>
      <c r="B123" s="1214" t="s">
        <v>645</v>
      </c>
      <c r="C123" s="1214"/>
      <c r="D123" s="1214"/>
    </row>
    <row r="124" spans="1:4" ht="15">
      <c r="A124" s="457" t="s">
        <v>644</v>
      </c>
      <c r="B124" s="1214" t="s">
        <v>646</v>
      </c>
      <c r="C124" s="1214"/>
      <c r="D124" s="1214"/>
    </row>
    <row r="125" spans="1:4" ht="28.5" customHeight="1">
      <c r="A125" s="1213"/>
      <c r="B125" s="1221" t="s">
        <v>626</v>
      </c>
      <c r="C125" s="1221"/>
      <c r="D125" s="1221"/>
    </row>
    <row r="126" spans="1:4" ht="28.5" customHeight="1">
      <c r="A126" s="1213"/>
      <c r="B126" s="1221" t="s">
        <v>627</v>
      </c>
      <c r="C126" s="1221"/>
      <c r="D126" s="1221"/>
    </row>
    <row r="127" spans="1:4" ht="14.25" customHeight="1">
      <c r="A127" s="1213"/>
      <c r="B127" s="1213"/>
      <c r="C127" s="1213"/>
      <c r="D127" s="1213"/>
    </row>
    <row r="128" spans="1:4" ht="15">
      <c r="A128" s="457" t="s">
        <v>647</v>
      </c>
      <c r="B128" s="1214" t="s">
        <v>133</v>
      </c>
      <c r="C128" s="1214"/>
      <c r="D128" s="1214"/>
    </row>
    <row r="129" spans="1:4" ht="14.25">
      <c r="A129" s="1213"/>
      <c r="B129" s="1221" t="s">
        <v>628</v>
      </c>
      <c r="C129" s="1221"/>
      <c r="D129" s="1221"/>
    </row>
    <row r="130" spans="1:4" ht="14.25">
      <c r="A130" s="1213"/>
      <c r="B130" s="1221" t="s">
        <v>629</v>
      </c>
      <c r="C130" s="1221"/>
      <c r="D130" s="1221"/>
    </row>
    <row r="131" spans="1:4" ht="14.25">
      <c r="A131" s="1213"/>
      <c r="B131" s="1221" t="s">
        <v>630</v>
      </c>
      <c r="C131" s="1221"/>
      <c r="D131" s="1221"/>
    </row>
    <row r="132" spans="1:4" ht="30" customHeight="1">
      <c r="A132" s="1213"/>
      <c r="B132" s="1211" t="s">
        <v>631</v>
      </c>
      <c r="C132" s="1211"/>
      <c r="D132" s="1211"/>
    </row>
    <row r="133" spans="1:4" ht="29.25" customHeight="1">
      <c r="A133" s="1213"/>
      <c r="B133" s="1211" t="s">
        <v>632</v>
      </c>
      <c r="C133" s="1211"/>
      <c r="D133" s="1211"/>
    </row>
    <row r="134" spans="1:4" ht="28.5" customHeight="1">
      <c r="A134" s="1213"/>
      <c r="B134" s="1221" t="s">
        <v>633</v>
      </c>
      <c r="C134" s="1221"/>
      <c r="D134" s="1221"/>
    </row>
    <row r="135" spans="1:4" ht="14.25">
      <c r="A135" s="1212"/>
      <c r="B135" s="1212"/>
      <c r="C135" s="1212"/>
      <c r="D135" s="1212"/>
    </row>
    <row r="136" spans="1:4">
      <c r="A136" s="447"/>
      <c r="B136" s="1222" t="s">
        <v>634</v>
      </c>
      <c r="C136" s="1222"/>
      <c r="D136" s="1222"/>
    </row>
    <row r="137" spans="1:4">
      <c r="A137" s="447"/>
    </row>
  </sheetData>
  <sheetProtection sheet="1" objects="1" scenarios="1" selectLockedCells="1"/>
  <mergeCells count="137">
    <mergeCell ref="B124:D124"/>
    <mergeCell ref="B125:D125"/>
    <mergeCell ref="B126:D126"/>
    <mergeCell ref="B119:D119"/>
    <mergeCell ref="B120:D120"/>
    <mergeCell ref="B121:D121"/>
    <mergeCell ref="B104:D104"/>
    <mergeCell ref="B105:D105"/>
    <mergeCell ref="B129:D129"/>
    <mergeCell ref="A122:D122"/>
    <mergeCell ref="A109:A113"/>
    <mergeCell ref="A114:D114"/>
    <mergeCell ref="B116:D116"/>
    <mergeCell ref="B117:D117"/>
    <mergeCell ref="A107:D107"/>
    <mergeCell ref="B108:D108"/>
    <mergeCell ref="B130:D130"/>
    <mergeCell ref="B131:D131"/>
    <mergeCell ref="B132:D132"/>
    <mergeCell ref="B133:D133"/>
    <mergeCell ref="B134:D134"/>
    <mergeCell ref="B136:D136"/>
    <mergeCell ref="A135:D135"/>
    <mergeCell ref="A1:B1"/>
    <mergeCell ref="C1:D1"/>
    <mergeCell ref="A125:A126"/>
    <mergeCell ref="A127:D127"/>
    <mergeCell ref="A129:A134"/>
    <mergeCell ref="B128:D128"/>
    <mergeCell ref="B118:D118"/>
    <mergeCell ref="B109:D109"/>
    <mergeCell ref="B110:D110"/>
    <mergeCell ref="B111:D111"/>
    <mergeCell ref="B112:D112"/>
    <mergeCell ref="B113:D113"/>
    <mergeCell ref="B102:D102"/>
    <mergeCell ref="B103:D103"/>
    <mergeCell ref="B123:D123"/>
    <mergeCell ref="B115:D115"/>
    <mergeCell ref="A116:A121"/>
    <mergeCell ref="B94:D94"/>
    <mergeCell ref="B95:D95"/>
    <mergeCell ref="B96:D96"/>
    <mergeCell ref="B97:D97"/>
    <mergeCell ref="B98:D98"/>
    <mergeCell ref="B101:D101"/>
    <mergeCell ref="B106:D106"/>
    <mergeCell ref="A101:A106"/>
    <mergeCell ref="A99:D99"/>
    <mergeCell ref="A89:A98"/>
    <mergeCell ref="B89:D89"/>
    <mergeCell ref="B90:D90"/>
    <mergeCell ref="B91:D91"/>
    <mergeCell ref="B92:D92"/>
    <mergeCell ref="B93:D93"/>
    <mergeCell ref="B100:D100"/>
    <mergeCell ref="B85:D85"/>
    <mergeCell ref="A86:D86"/>
    <mergeCell ref="A83:A85"/>
    <mergeCell ref="B87:D87"/>
    <mergeCell ref="B88:D88"/>
    <mergeCell ref="A79:D79"/>
    <mergeCell ref="A80:D80"/>
    <mergeCell ref="A81:D81"/>
    <mergeCell ref="B83:D83"/>
    <mergeCell ref="B84:D84"/>
    <mergeCell ref="B76:D76"/>
    <mergeCell ref="B77:D77"/>
    <mergeCell ref="B61:D61"/>
    <mergeCell ref="A62:D62"/>
    <mergeCell ref="B71:D71"/>
    <mergeCell ref="A70:D70"/>
    <mergeCell ref="B72:D72"/>
    <mergeCell ref="B78:D78"/>
    <mergeCell ref="A76:A78"/>
    <mergeCell ref="A71:A74"/>
    <mergeCell ref="A63:A69"/>
    <mergeCell ref="C63:C69"/>
    <mergeCell ref="B65:B67"/>
    <mergeCell ref="D65:D67"/>
    <mergeCell ref="B73:D73"/>
    <mergeCell ref="B74:D74"/>
    <mergeCell ref="A75:D75"/>
    <mergeCell ref="A31:D31"/>
    <mergeCell ref="B34:D34"/>
    <mergeCell ref="B35:D35"/>
    <mergeCell ref="B33:D33"/>
    <mergeCell ref="B32:D32"/>
    <mergeCell ref="A34:A35"/>
    <mergeCell ref="B50:D50"/>
    <mergeCell ref="B60:D60"/>
    <mergeCell ref="B58:D58"/>
    <mergeCell ref="B57:D57"/>
    <mergeCell ref="B54:D54"/>
    <mergeCell ref="A38:A45"/>
    <mergeCell ref="A48:A52"/>
    <mergeCell ref="B51:D51"/>
    <mergeCell ref="B37:D37"/>
    <mergeCell ref="B52:D52"/>
    <mergeCell ref="A53:D53"/>
    <mergeCell ref="B55:D55"/>
    <mergeCell ref="A59:D59"/>
    <mergeCell ref="A56:D56"/>
    <mergeCell ref="A46:D46"/>
    <mergeCell ref="B47:D47"/>
    <mergeCell ref="B48:D48"/>
    <mergeCell ref="B49:D49"/>
    <mergeCell ref="B41:D41"/>
    <mergeCell ref="B42:D42"/>
    <mergeCell ref="B43:D43"/>
    <mergeCell ref="B44:D44"/>
    <mergeCell ref="B45:D45"/>
    <mergeCell ref="A36:D36"/>
    <mergeCell ref="B38:D38"/>
    <mergeCell ref="B39:D39"/>
    <mergeCell ref="B40:D40"/>
    <mergeCell ref="B19:D19"/>
    <mergeCell ref="B30:D30"/>
    <mergeCell ref="A24:D24"/>
    <mergeCell ref="B25:D25"/>
    <mergeCell ref="B26:D26"/>
    <mergeCell ref="B27:D27"/>
    <mergeCell ref="A20:D20"/>
    <mergeCell ref="B22:D22"/>
    <mergeCell ref="B23:D23"/>
    <mergeCell ref="B21:D21"/>
    <mergeCell ref="A22:A23"/>
    <mergeCell ref="A28:D28"/>
    <mergeCell ref="A3:D3"/>
    <mergeCell ref="B6:D6"/>
    <mergeCell ref="B5:D5"/>
    <mergeCell ref="B10:D10"/>
    <mergeCell ref="B9:D9"/>
    <mergeCell ref="B8:D8"/>
    <mergeCell ref="A7:D7"/>
    <mergeCell ref="A10:A16"/>
    <mergeCell ref="A17:D17"/>
  </mergeCells>
  <hyperlinks>
    <hyperlink ref="B136" location="_ftnref1" display="_ftnref1"/>
  </hyperlinks>
  <pageMargins left="0.7" right="0.7" top="0.78740157499999996" bottom="0.78740157499999996" header="0.3" footer="0.3"/>
  <pageSetup paperSize="9" orientation="portrait" r:id="rId1"/>
  <headerFooter>
    <oddHeader>&amp;C&amp;9
Grundsatzvereinbarung</oddHeader>
    <oddFooter>&amp;C&amp;P</oddFooter>
  </headerFooter>
  <rowBreaks count="1" manualBreakCount="1">
    <brk id="7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Dokument" ma:contentTypeID="0x010100F488EBAA86FA420BA4D470AC048A6EF7000F3B6FE937FDEB4F973DD7A3872780AD" ma:contentTypeVersion="65" ma:contentTypeDescription="Ein Dokument mit erweiterten Eigenschaften für BE-Collaboration." ma:contentTypeScope="" ma:versionID="21fcc7aabcecf215a8714d991fe0cc4c">
  <xsd:schema xmlns:xsd="http://www.w3.org/2001/XMLSchema" xmlns:xs="http://www.w3.org/2001/XMLSchema" xmlns:p="http://schemas.microsoft.com/office/2006/metadata/properties" xmlns:ns2="http://schemas.microsoft.com/sharepoint/v3/fields" xmlns:ns3="4d6b58fe-b6e2-4496-ba88-050e5841f7e3" xmlns:ns4="6bacff5b-6546-41c4-9439-d37c436904f9" targetNamespace="http://schemas.microsoft.com/office/2006/metadata/properties" ma:root="true" ma:fieldsID="9c7d320c042932ced2887de72814dca4" ns2:_="" ns3:_="" ns4:_="">
    <xsd:import namespace="http://schemas.microsoft.com/sharepoint/v3/fields"/>
    <xsd:import namespace="4d6b58fe-b6e2-4496-ba88-050e5841f7e3"/>
    <xsd:import namespace="6bacff5b-6546-41c4-9439-d37c436904f9"/>
    <xsd:element name="properties">
      <xsd:complexType>
        <xsd:sequence>
          <xsd:element name="documentManagement">
            <xsd:complexType>
              <xsd:all>
                <xsd:element ref="ns2:_DCDateCreated" minOccurs="0"/>
                <xsd:element ref="ns3:_dlc_DocIdUrl" minOccurs="0"/>
                <xsd:element ref="ns3:_dlc_DocId" minOccurs="0"/>
                <xsd:element ref="ns3:_dlc_DocIdPersistId" minOccurs="0"/>
                <xsd:element ref="ns3:TaxKeywordTaxHTField" minOccurs="0"/>
                <xsd:element ref="ns3:TaxCatchAll" minOccurs="0"/>
                <xsd:element ref="ns3:TaxCatchAllLabel" minOccurs="0"/>
                <xsd:element ref="ns3:gwDocumentType_0" minOccurs="0"/>
                <xsd:element ref="ns4:Inkrattret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 nillable="true" ma:displayName="Erstellt am" ma:description="Das Datum, an dem diese Ressource erstellt wurde" ma:format="DateTime" ma:internalName="Erstellt_x0020_a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6b58fe-b6e2-4496-ba88-050e5841f7e3" elementFormDefault="qualified">
    <xsd:import namespace="http://schemas.microsoft.com/office/2006/documentManagement/types"/>
    <xsd:import namespace="http://schemas.microsoft.com/office/infopath/2007/PartnerControls"/>
    <xsd:element name="_dlc_DocIdUrl" ma:index="4" nillable="true" ma:displayName="Dokument-ID" ma:description="Permanenter Hyperlink zu diesem Dok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8" nillable="true" ma:displayName="Wert der Dokument-ID" ma:description="Der Wert der diesem Element zugewiesenen Dokument-ID." ma:hidden="true" ma:internalName="_dlc_DocId" ma:readOnly="false">
      <xsd:simpleType>
        <xsd:restriction base="dms:Text"/>
      </xsd:simpleType>
    </xsd:element>
    <xsd:element name="_dlc_DocIdPersistId" ma:index="10" nillable="true" ma:displayName="Beständige ID" ma:description="ID beim Hinzufügen beibehalten." ma:hidden="true" ma:internalName="_dlc_DocIdPersistId" ma:readOnly="false">
      <xsd:simpleType>
        <xsd:restriction base="dms:Boolean"/>
      </xsd:simpleType>
    </xsd:element>
    <xsd:element name="TaxKeywordTaxHTField" ma:index="11" nillable="true" ma:taxonomy="true" ma:internalName="TaxKeywordTaxHTField" ma:taxonomyFieldName="TaxKeyword" ma:displayName="Unternehmensstichwörter" ma:readOnly="false" ma:fieldId="{23f27201-bee3-471e-b2e7-b64fd8b7ca38}" ma:taxonomyMulti="true" ma:sspId="9edd8a22-126f-4080-92f9-ad0711c011fd"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3114aa39-2dcd-46d3-ba67-dc4f22f5c600}" ma:internalName="TaxCatchAll" ma:readOnly="false" ma:showField="CatchAllData" ma:web="4d6b58fe-b6e2-4496-ba88-050e5841f7e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114aa39-2dcd-46d3-ba67-dc4f22f5c600}" ma:internalName="TaxCatchAllLabel" ma:readOnly="false" ma:showField="CatchAllDataLabel" ma:web="4d6b58fe-b6e2-4496-ba88-050e5841f7e3">
      <xsd:complexType>
        <xsd:complexContent>
          <xsd:extension base="dms:MultiChoiceLookup">
            <xsd:sequence>
              <xsd:element name="Value" type="dms:Lookup" maxOccurs="unbounded" minOccurs="0" nillable="true"/>
            </xsd:sequence>
          </xsd:extension>
        </xsd:complexContent>
      </xsd:complexType>
    </xsd:element>
    <xsd:element name="gwDocumentType_0" ma:index="15" ma:taxonomy="true" ma:internalName="gwDocumentType_0" ma:taxonomyFieldName="gwDocumentType" ma:displayName="Dokument Typ" ma:readOnly="false" ma:default="1;#Dokument|a37e0aed-a133-4700-b94c-91471235742f" ma:fieldId="{29c4464b-86dc-49b5-a940-705a8f684b04}" ma:sspId="9edd8a22-126f-4080-92f9-ad0711c011fd" ma:termSetId="0ebce8f3-74f3-49e2-ba86-fe8e6d4569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acff5b-6546-41c4-9439-d37c436904f9" elementFormDefault="qualified">
    <xsd:import namespace="http://schemas.microsoft.com/office/2006/documentManagement/types"/>
    <xsd:import namespace="http://schemas.microsoft.com/office/infopath/2007/PartnerControls"/>
    <xsd:element name="Inkrattretung" ma:index="18" nillable="true" ma:displayName="Inkrafttreten" ma:internalName="Inkrattret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Label xmlns="4d6b58fe-b6e2-4496-ba88-050e5841f7e3"/>
    <Inkrattretung xmlns="6bacff5b-6546-41c4-9439-d37c436904f9">01.10.2021</Inkrattretung>
    <_dlc_DocIdPersistId xmlns="4d6b58fe-b6e2-4496-ba88-050e5841f7e3" xsi:nil="true"/>
    <_dlc_DocId xmlns="4d6b58fe-b6e2-4496-ba88-050e5841f7e3">VOL-1595449632-1766</_dlc_DocId>
    <TaxCatchAll xmlns="4d6b58fe-b6e2-4496-ba88-050e5841f7e3"/>
    <_dlc_DocIdUrl xmlns="4d6b58fe-b6e2-4496-ba88-050e5841f7e3">
      <Url>https://www.collab.apps.be.ch/weu/awn-kreisschreiben/_layouts/15/DocIdRedir.aspx?ID=VOL-1595449632-1766</Url>
      <Description>VOL-1595449632-1766</Description>
    </_dlc_DocIdUrl>
    <TaxKeywordTaxHTField xmlns="4d6b58fe-b6e2-4496-ba88-050e5841f7e3">
      <Terms xmlns="http://schemas.microsoft.com/office/infopath/2007/PartnerControls"/>
    </TaxKeywordTaxHTField>
    <_DCDateCreated xmlns="http://schemas.microsoft.com/sharepoint/v3/fields" xsi:nil="true"/>
    <gwDocumentType_0 xmlns="4d6b58fe-b6e2-4496-ba88-050e5841f7e3">
      <Terms xmlns="http://schemas.microsoft.com/office/infopath/2007/PartnerControls">
        <TermInfo xmlns="http://schemas.microsoft.com/office/infopath/2007/PartnerControls">
          <TermName xmlns="http://schemas.microsoft.com/office/infopath/2007/PartnerControls">Beilage</TermName>
          <TermId xmlns="http://schemas.microsoft.com/office/infopath/2007/PartnerControls">ef6a236b-de69-4b96-869c-f4b3b9b8580d</TermId>
        </TermInfo>
      </Terms>
    </gwDocumentType_0>
  </documentManagement>
</p:properties>
</file>

<file path=customXml/itemProps1.xml><?xml version="1.0" encoding="utf-8"?>
<ds:datastoreItem xmlns:ds="http://schemas.openxmlformats.org/officeDocument/2006/customXml" ds:itemID="{3EDDDF26-C41A-42D7-A0D2-27AF35C32C06}">
  <ds:schemaRefs>
    <ds:schemaRef ds:uri="http://schemas.microsoft.com/sharepoint/v3/contenttype/forms"/>
  </ds:schemaRefs>
</ds:datastoreItem>
</file>

<file path=customXml/itemProps2.xml><?xml version="1.0" encoding="utf-8"?>
<ds:datastoreItem xmlns:ds="http://schemas.openxmlformats.org/officeDocument/2006/customXml" ds:itemID="{8C36F207-2353-43DA-98C5-EAAD2A68C359}">
  <ds:schemaRefs>
    <ds:schemaRef ds:uri="http://schemas.microsoft.com/sharepoint/events"/>
  </ds:schemaRefs>
</ds:datastoreItem>
</file>

<file path=customXml/itemProps3.xml><?xml version="1.0" encoding="utf-8"?>
<ds:datastoreItem xmlns:ds="http://schemas.openxmlformats.org/officeDocument/2006/customXml" ds:itemID="{D35408D0-0295-457E-9340-55426AAC8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d6b58fe-b6e2-4496-ba88-050e5841f7e3"/>
    <ds:schemaRef ds:uri="6bacff5b-6546-41c4-9439-d37c43690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A5C1FB-69B5-473E-B6B4-D7AC9A4656AD}">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bacff5b-6546-41c4-9439-d37c436904f9"/>
    <ds:schemaRef ds:uri="http://schemas.openxmlformats.org/package/2006/metadata/core-properties"/>
    <ds:schemaRef ds:uri="4d6b58fe-b6e2-4496-ba88-050e5841f7e3"/>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1.1_NAIS-Projektgrundlagen</vt:lpstr>
      <vt:lpstr>1.2_NAIS-Handlungsbedarf</vt:lpstr>
      <vt:lpstr>2_BM_Lawinen-Steinschlag</vt:lpstr>
      <vt:lpstr>3.1_Beurteilung_Rutsch-Hangmur</vt:lpstr>
      <vt:lpstr>3.2_BM_Rutschung-Hangmuren</vt:lpstr>
      <vt:lpstr>4_Anzeichnungsprotokoll</vt:lpstr>
      <vt:lpstr>5_Pauschalansätze_HR_E</vt:lpstr>
      <vt:lpstr>6_Beitragsgesuch_OSW</vt:lpstr>
      <vt:lpstr>7_Grundsatzvereinbarung</vt:lpstr>
      <vt:lpstr>8_Kalkulation</vt:lpstr>
      <vt:lpstr>Durchmessertabelle</vt:lpstr>
      <vt:lpstr>Pauschalansätze etc.</vt:lpstr>
      <vt:lpstr>9_Rollen_und_Prozesse</vt:lpstr>
      <vt:lpstr>10_Tariftabelle</vt:lpstr>
      <vt:lpstr>'7_Grundsatzvereinbarung'!_ftn1</vt:lpstr>
      <vt:lpstr>'7_Grundsatzvereinbarung'!_ftnref1</vt:lpstr>
      <vt:lpstr>'7_Grundsatzvereinbarung'!_Ref199726987</vt:lpstr>
      <vt:lpstr>'7_Grundsatzvereinbarung'!_Ref199730802</vt:lpstr>
      <vt:lpstr>'7_Grundsatzvereinbarung'!_Ref199734738</vt:lpstr>
      <vt:lpstr>'5_Pauschalansätze_HR_E'!Druckbereich</vt:lpstr>
      <vt:lpstr>'8_Kalkulation'!Druckbereich</vt:lpstr>
      <vt:lpstr>'8_Kalkulation'!Massnahmen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Schenk</dc:creator>
  <cp:lastModifiedBy>Blatter Simon, WEU-AWN-AFR</cp:lastModifiedBy>
  <cp:lastPrinted>2022-06-10T08:47:29Z</cp:lastPrinted>
  <dcterms:created xsi:type="dcterms:W3CDTF">2003-06-26T12:02:21Z</dcterms:created>
  <dcterms:modified xsi:type="dcterms:W3CDTF">2022-10-23T20:57:14Z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DocIdItemGuid">
    <vt:lpwstr>6341e2d7-c12b-4299-aae6-482fd814df8a</vt:lpwstr>
  </property>
  <property fmtid="{D5CDD505-2E9C-101B-9397-08002B2CF9AE}" pid="4" name="gwDocumentType">
    <vt:lpwstr>82;#Beilage|ef6a236b-de69-4b96-869c-f4b3b9b8580d</vt:lpwstr>
  </property>
  <property fmtid="{D5CDD505-2E9C-101B-9397-08002B2CF9AE}" pid="5" name="ContentTypeId">
    <vt:lpwstr>0x010100F488EBAA86FA420BA4D470AC048A6EF7000F3B6FE937FDEB4F973DD7A3872780AD</vt:lpwstr>
  </property>
</Properties>
</file>