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AWI\FU\IE\Internet\Bewirtschaftung\Corona\Härtefallhilfe_2.0\Excel-Formulare\2022_04_25\"/>
    </mc:Choice>
  </mc:AlternateContent>
  <bookViews>
    <workbookView xWindow="-120" yWindow="-120" windowWidth="38640" windowHeight="21240"/>
  </bookViews>
  <sheets>
    <sheet name="Formulaire" sheetId="3" r:id="rId1"/>
    <sheet name="Output" sheetId="8" state="hidden" r:id="rId2"/>
    <sheet name="Liste" sheetId="7" state="hidden" r:id="rId3"/>
  </sheets>
  <definedNames>
    <definedName name="Activite">Formulaire!$C$40</definedName>
    <definedName name="AmortissementDecembre2021">Formulaire!#REF!</definedName>
    <definedName name="AmortissementFevrier2022">Formulaire!#REF!</definedName>
    <definedName name="AmortissementJanvier2022">Formulaire!#REF!</definedName>
    <definedName name="AmortissementMars2022">Formulaire!#REF!</definedName>
    <definedName name="AssuranceDecembre2021">Formulaire!$F$130</definedName>
    <definedName name="AssuranceFevrier2022">Formulaire!$J$130</definedName>
    <definedName name="AssuranceJanvier2022">Formulaire!$H$130</definedName>
    <definedName name="AssuranceMars2022">Formulaire!$L$130</definedName>
    <definedName name="AssuranceVehiculeDecembre2021">Formulaire!$F$148</definedName>
    <definedName name="AssuranceVehiculeFevrier2022">Formulaire!$J$148</definedName>
    <definedName name="AssuranceVehiculeJanvier2022">Formulaire!$H$148</definedName>
    <definedName name="AssuranceVehiculeMars2022">Formulaire!$L$148</definedName>
    <definedName name="AutreAssuranceDecembre2021">Formulaire!$F$156</definedName>
    <definedName name="AutreAssuranceFevrier2022">Formulaire!$J$156</definedName>
    <definedName name="AutreAssuranceJanvier2022">Formulaire!$H$156</definedName>
    <definedName name="AutreAssuranceMars2022">Formulaire!$L$156</definedName>
    <definedName name="AutreEntretienDecembre2021">Formulaire!$F$147</definedName>
    <definedName name="AutreEntretienFevrier2022">Formulaire!$J$147</definedName>
    <definedName name="AutreEntretienJanvier2022">Formulaire!$H$147</definedName>
    <definedName name="AutreEntretienMars2022">Formulaire!$L$147</definedName>
    <definedName name="AutreFinanceDecembre2021">Formulaire!$F$167</definedName>
    <definedName name="AutreFinanceFevrier2022">Formulaire!$J$167</definedName>
    <definedName name="AutreFinanceJanvier2022">Formulaire!$H$167</definedName>
    <definedName name="AutreFinanceMars2022">Formulaire!$L$167</definedName>
    <definedName name="AutreFormeJuridique">Formulaire!$C$38</definedName>
    <definedName name="AutreFraisAchatDecembre2021">Formulaire!$F$127</definedName>
    <definedName name="AutreFraisAchatFevrier2022">Formulaire!$J$127</definedName>
    <definedName name="AutreFraisAchatJanvier2022">Formulaire!$H$127</definedName>
    <definedName name="AutreFraisAchatMars2022">Formulaire!$L$127</definedName>
    <definedName name="AutreFraisDecembre2021">Formulaire!$F$163</definedName>
    <definedName name="AutreFraisFevrier2022">Formulaire!$J$163</definedName>
    <definedName name="AutreFraisJanvier2022">Formulaire!$H$163</definedName>
    <definedName name="AutreFraisMars2022">Formulaire!$L$163</definedName>
    <definedName name="AutreLocauxDecembre2021">Formulaire!$F$142</definedName>
    <definedName name="AutreLocauxFevrier2022">Formulaire!$J$142</definedName>
    <definedName name="AutreLocauxJanvier2022">Formulaire!$H$142</definedName>
    <definedName name="AutreLocauxMars2022">Formulaire!$L$142</definedName>
    <definedName name="AutreMensualiteDecembre2021">Formulaire!$F$135</definedName>
    <definedName name="AutreMensualiteFevrier2022">Formulaire!$J$135</definedName>
    <definedName name="AutreMensualitejanvier2022">Formulaire!$H$135</definedName>
    <definedName name="AutreMensualiteMars2022">Formulaire!$L$135</definedName>
    <definedName name="AutrePubDecembre2021">Formulaire!$F$165</definedName>
    <definedName name="AutrePubFevrier2022">Formulaire!$J$165</definedName>
    <definedName name="AutrePubJanvier2022">Formulaire!$H$165</definedName>
    <definedName name="AutrePubMars2022">Formulaire!$L$165</definedName>
    <definedName name="AutresChargesDecembre2021">Formulaire!$F$131</definedName>
    <definedName name="AutresChargesFevrier2022">Formulaire!$J$131</definedName>
    <definedName name="AutresChargesJanvier2022">Formulaire!$H$131</definedName>
    <definedName name="AutresChargesMars2022">Formulaire!$L$131</definedName>
    <definedName name="AutreTaxesDecembre2021">Formulaire!$F$145</definedName>
    <definedName name="AutreTaxesFevrier2022">Formulaire!$J$145</definedName>
    <definedName name="AutreTaxesJanvier2022">Formulaire!$H$145</definedName>
    <definedName name="AutreTaxesMars2022">Formulaire!$L$145</definedName>
    <definedName name="AutreVehiculeDecembre2021">Formulaire!$F$150</definedName>
    <definedName name="AutreVehiculeFevrier2022">Formulaire!$J$150</definedName>
    <definedName name="AutreVehiculeJanvier2022">Formulaire!$H$150</definedName>
    <definedName name="AutreVehiculeMars2022">Formulaire!$L$150</definedName>
    <definedName name="Banque">Formulaire!$C$50</definedName>
    <definedName name="BeneficeFinal2018">Formulaire!$C$69</definedName>
    <definedName name="BeneficeFinal2019">Formulaire!$D$69</definedName>
    <definedName name="CACom2018">Formulaire!$C$68</definedName>
    <definedName name="CACom2019">Formulaire!$D$68</definedName>
    <definedName name="CAComAout2020">Formulaire!$K$83</definedName>
    <definedName name="CAComAvril2020">Formulaire!$G$83</definedName>
    <definedName name="CAComAvril2021">Formulaire!$S$83</definedName>
    <definedName name="CAComDecembre2020">Formulaire!$O$83</definedName>
    <definedName name="CAComFevrier2020">Formulaire!$E$83</definedName>
    <definedName name="CAComFevrier2021">Formulaire!$Q$83</definedName>
    <definedName name="CAComJanvier2020">Formulaire!$D$83</definedName>
    <definedName name="CAComJanvier2021">Formulaire!$P$83</definedName>
    <definedName name="CAComJuillet2020">Formulaire!$J$83</definedName>
    <definedName name="CAComJuin2020">Formulaire!$I$83</definedName>
    <definedName name="CAComJuin2021">Formulaire!$U$83</definedName>
    <definedName name="CAComMai2020">Formulaire!$H$83</definedName>
    <definedName name="CAComMai2021">Formulaire!$T$83</definedName>
    <definedName name="CAComMars2020">Formulaire!$F$83</definedName>
    <definedName name="CAComMars2021">Formulaire!$R$83</definedName>
    <definedName name="CAComNovembre2020">Formulaire!$N$83</definedName>
    <definedName name="CAComOctobre2020">Formulaire!$M$83</definedName>
    <definedName name="CAComRevenuDecembre2021">Formulaire!$C$94</definedName>
    <definedName name="CAComRevenuFevrier2022">Formulaire!$E$94</definedName>
    <definedName name="CAComRevenuJanvier2022">Formulaire!$D$94</definedName>
    <definedName name="CAComRevenuMars2022">Formulaire!$F$94</definedName>
    <definedName name="CAComSecteur2018">Formulaire!$C$76</definedName>
    <definedName name="CAComSecteur2019">Formulaire!$D$76</definedName>
    <definedName name="CAComSeptembre2020">Formulaire!$L$83</definedName>
    <definedName name="Cas_2">Formulaire!$F$58</definedName>
    <definedName name="Cas_3">Formulaire!$F$59</definedName>
    <definedName name="Cas_4">Formulaire!$F$60</definedName>
    <definedName name="Cas_5">Formulaire!$F$61</definedName>
    <definedName name="Cas1_1">Formulaire!$F$57</definedName>
    <definedName name="Cas1_2">Formulaire!$I$57</definedName>
    <definedName name="CCP">Formulaire!$C$49</definedName>
    <definedName name="ChargesAccessoiresDecembre2021">Formulaire!$F$137</definedName>
    <definedName name="ChargesAccessoiresFevrier2022">Formulaire!$J$137</definedName>
    <definedName name="ChargesAccessoiresJanvier2022">Formulaire!$H$137</definedName>
    <definedName name="ChargesAccessoiresMars2022">Formulaire!$L$137</definedName>
    <definedName name="ChargesAnnuelles">Formulaire!$C$114</definedName>
    <definedName name="ChargesSocialeDecembre2021">Formulaire!$F$129</definedName>
    <definedName name="ChargesSocialeFevrier2022">Formulaire!$J$129</definedName>
    <definedName name="ChargesSocialeJanvier22">Formulaire!$H$129</definedName>
    <definedName name="ChargesSocialeMars2022">Formulaire!$L$129</definedName>
    <definedName name="ChauffageDecembre2021">Formulaire!$F$139</definedName>
    <definedName name="ChauffageFevrier2022">Formulaire!$J$139</definedName>
    <definedName name="ChauffageJanvier2022">Formulaire!$H$139</definedName>
    <definedName name="ChauffageMars2022">Formulaire!$L$139</definedName>
    <definedName name="ChosesDecembre2021">Formulaire!$F$152</definedName>
    <definedName name="ChosesFevrier2022">Formulaire!$J$152</definedName>
    <definedName name="ChosesJanvier2022">Formulaire!$H$152</definedName>
    <definedName name="ChosesMars2022">Formulaire!$L$152</definedName>
    <definedName name="CodePostalContact">Formulaire!$J$25</definedName>
    <definedName name="CodePostaleEntreprise">Formulaire!$C$23</definedName>
    <definedName name="CodePostaleSiege">Formulaire!$C$30</definedName>
    <definedName name="CollaborateurBerne">Formulaire!$J$41</definedName>
    <definedName name="CollaborateurSuisse">Formulaire!$J$39</definedName>
    <definedName name="CollaborateurTotal">Formulaire!$J$36</definedName>
    <definedName name="ContratDecembre2021">Formulaire!$F$146</definedName>
    <definedName name="ContratFevrier2022">Formulaire!$J$146</definedName>
    <definedName name="ContratJanvier2022">Formulaire!$H$146</definedName>
    <definedName name="ContratMars2022">Formulaire!$L$146</definedName>
    <definedName name="CopieurDecembre2021">Formulaire!$F$162</definedName>
    <definedName name="CopieurFevrier2022">Formulaire!$J$162</definedName>
    <definedName name="CopieurJanvier2022">Formulaire!$H$162</definedName>
    <definedName name="CopieurMars2022">Formulaire!$L$162</definedName>
    <definedName name="CotisationDecembre2021">Formulaire!$F$159</definedName>
    <definedName name="CotisationFevrier2022">Formulaire!$J$159</definedName>
    <definedName name="CotisationJanvier2022">Formulaire!$H$159</definedName>
    <definedName name="CotisationMars2022">Formulaire!$L$159</definedName>
    <definedName name="DateDemande">Formulaire!$C$13</definedName>
    <definedName name="DateInscriptionRC">Formulaire!$C$39</definedName>
    <definedName name="DroitAide2021">Formulaire!$C$15</definedName>
    <definedName name="ElectriciteDecembre2021">Formulaire!$F$138</definedName>
    <definedName name="ElectriciteFevrier2022">Formulaire!$J$138</definedName>
    <definedName name="ElectriciteJanvier2022">Formulaire!$H$138</definedName>
    <definedName name="ElectriciteMars2022">Formulaire!$L$138</definedName>
    <definedName name="EquipementDecembre2021">Formulaire!$F$132</definedName>
    <definedName name="EquipementFevrier2022">Formulaire!$J$132</definedName>
    <definedName name="EquipementJanvier2022">Formulaire!$H$132</definedName>
    <definedName name="EquipementMars2022">Formulaire!$L$132</definedName>
    <definedName name="EquivalentTempsPlein">Formulaire!$J$43</definedName>
    <definedName name="ExploitationDecembre2021">Formulaire!$F$154</definedName>
    <definedName name="ExploitationFevrier2022">Formulaire!$J$154</definedName>
    <definedName name="ExploitationJanvier2022">Formulaire!$H$154</definedName>
    <definedName name="ExploitationMars2022">Formulaire!$L$154</definedName>
    <definedName name="FonctionContact">Formulaire!$J$23</definedName>
    <definedName name="FormeJuridique">Formulaire!$C$37</definedName>
    <definedName name="FraisContratDecembre2021">Formulaire!$F$164</definedName>
    <definedName name="FraisContratFevrier2022">Formulaire!$J$164</definedName>
    <definedName name="FraisContratJanvier2022">Formulaire!$H$164</definedName>
    <definedName name="FraisContratMars2022">Formulaire!$L$164</definedName>
    <definedName name="FraisInfoDecembre2021">Formulaire!$F$161</definedName>
    <definedName name="FraisInfoFevrier2022">Formulaire!$J$161</definedName>
    <definedName name="FraisInfoJanvier2022">Formulaire!$H$161</definedName>
    <definedName name="FraisInfoMars2022">Formulaire!$L$161</definedName>
    <definedName name="GCP">Formulaire!$C$54</definedName>
    <definedName name="HonoraireDecembre2021">Formulaire!$F$160</definedName>
    <definedName name="HonoraireFevrier2022">Formulaire!$J$160</definedName>
    <definedName name="HonoraireJanvier2022">Formulaire!$H$160</definedName>
    <definedName name="HonoraireMars2022">Formulaire!$L$160</definedName>
    <definedName name="Iban">Formulaire!$C$48</definedName>
    <definedName name="IDE">Formulaire!$C$36</definedName>
    <definedName name="IncendieDecembre2021">Formulaire!$F$151</definedName>
    <definedName name="IncendieFevrier2022">Formulaire!$J$151</definedName>
    <definedName name="IncendieJanvier2022">Formulaire!$H$151</definedName>
    <definedName name="IncendieMars2022">Formulaire!$L$151</definedName>
    <definedName name="InformatiqueDecembre2021">Formulaire!$F$134</definedName>
    <definedName name="InformatiqueFevrier2022">Formulaire!$J$134</definedName>
    <definedName name="InformatiqueJanvier2022">Formulaire!$H$134</definedName>
    <definedName name="InformatiqueMars2022">Formulaire!$L$134</definedName>
    <definedName name="InteretFraisDecembre2021">Formulaire!$F$166</definedName>
    <definedName name="InteretFraisFevrier2022">Formulaire!$J$166</definedName>
    <definedName name="InteretFraisJanvier2022">Formulaire!$H$166</definedName>
    <definedName name="InteretFraisMars2022">Formulaire!$L$166</definedName>
    <definedName name="InternetDecembre2021">Formulaire!$F$158</definedName>
    <definedName name="InternetFevrier2022">Formulaire!$J$158</definedName>
    <definedName name="InternetJanvier2022">Formulaire!$H$158</definedName>
    <definedName name="InternetMars2022">Formulaire!$L$158</definedName>
    <definedName name="Liste_Activite">Liste!$E$2:$E$16</definedName>
    <definedName name="Liste_FormeJuridique">Liste!$C$2:$C$5</definedName>
    <definedName name="Liste_Option">Liste!$K$2:$K$3</definedName>
    <definedName name="Liste_Region">Liste!$A$2:$A$7</definedName>
    <definedName name="Liste_Type">Liste!$G$2:$G$3</definedName>
    <definedName name="Liste_X">Liste!$I$2:$I$3</definedName>
    <definedName name="LocaliteContact">Formulaire!$J$26</definedName>
    <definedName name="LocaliteEntreprise">Formulaire!$C$24</definedName>
    <definedName name="LocaliteSiege">Formulaire!$C$31</definedName>
    <definedName name="LoyerDecembre2021">Formulaire!$F$136</definedName>
    <definedName name="LoyerFevrier2022">Formulaire!$J$136</definedName>
    <definedName name="LoyerJanvier2022">Formulaire!$H$136</definedName>
    <definedName name="LoyerMars2022">Formulaire!$L$136</definedName>
    <definedName name="MailContact">Formulaire!$J$27</definedName>
    <definedName name="MaterielDecembre2021">Formulaire!$F$125</definedName>
    <definedName name="MaterielFevrier2022">Formulaire!$J$125</definedName>
    <definedName name="MaterielJanvier2022">Formulaire!$H$125</definedName>
    <definedName name="MaterielMars2022">Formulaire!$L$125</definedName>
    <definedName name="MontantRevenuAPGDecembre2021">Formulaire!$C$96</definedName>
    <definedName name="MontantRevenuAPGFevrier2022">Formulaire!$E$96</definedName>
    <definedName name="MontantRevenuAPGJanvier2022">Formulaire!$D$96</definedName>
    <definedName name="MontantRevenuAPGMars2022">Formulaire!$F$96</definedName>
    <definedName name="MontantRevenuRHTDecembre2021">Formulaire!$C$95</definedName>
    <definedName name="MontantRevenuRHTFevrier2022">Formulaire!$E$95</definedName>
    <definedName name="MontantRevenuRHTJanvier2022">Formulaire!$D$95</definedName>
    <definedName name="MontantRevenuRHTMars2022">Formulaire!$F$95</definedName>
    <definedName name="NettoyageDecembre2021">Formulaire!$F$140</definedName>
    <definedName name="NettoyageFevrier2022">Formulaire!$J$140</definedName>
    <definedName name="NettoyageJanvier2022">Formulaire!$H$140</definedName>
    <definedName name="NettoyageMars2022">Formulaire!$L$140</definedName>
    <definedName name="NombreJoursFermeture">Formulaire!$C$17</definedName>
    <definedName name="NomContact">Formulaire!$J$21</definedName>
    <definedName name="NomEntreprise">Formulaire!$C$21</definedName>
    <definedName name="NumeroCompte">Formulaire!$C$51</definedName>
    <definedName name="OptionCalculdesCharges">Formulaire!$C$107</definedName>
    <definedName name="PatenteDecembre2021">Formulaire!$F$144</definedName>
    <definedName name="PatenteFevrier2022">Formulaire!$J$144</definedName>
    <definedName name="PatenteJanvier2022">Formulaire!$H$144</definedName>
    <definedName name="PatenteMars2022">Formulaire!$L$144</definedName>
    <definedName name="PortableContact">Formulaire!$J$29</definedName>
    <definedName name="PourcentageMasseSalariale">Formulaire!$C$86</definedName>
    <definedName name="PrenomContact">Formulaire!$J$22</definedName>
    <definedName name="PrestationDecembre2021">Formulaire!$F$126</definedName>
    <definedName name="PrestationFevrier2022">Formulaire!$J$126</definedName>
    <definedName name="PrestationJanvier2022">Formulaire!$H$126</definedName>
    <definedName name="PrestationMars2022">Formulaire!$L$126</definedName>
    <definedName name="ProtectionDecembre2021">Formulaire!$F$155</definedName>
    <definedName name="ProtectionFevrier2022">Formulaire!$J$155</definedName>
    <definedName name="ProtectionJanvier2022">Formulaire!$H$155</definedName>
    <definedName name="ProtectionMars2022">Formulaire!$L$155</definedName>
    <definedName name="RegionEntreprise">Formulaire!$C$25</definedName>
    <definedName name="RegionSiege">Formulaire!$C$32</definedName>
    <definedName name="ResponsabiliteDecembre2021">Formulaire!$F$153</definedName>
    <definedName name="ResponsabiliteFevrier2022">Formulaire!$J$153</definedName>
    <definedName name="ResponsabiliteJanvier2022">Formulaire!$H$153</definedName>
    <definedName name="ResponsabiliteMars2022">Formulaire!$L$153</definedName>
    <definedName name="RueContact">Formulaire!$J$24</definedName>
    <definedName name="RueEntreprise">Formulaire!$C$22</definedName>
    <definedName name="RueSiege">Formulaire!$C$29</definedName>
    <definedName name="SalairesDecembre2021">Formulaire!$F$128</definedName>
    <definedName name="SalairesFevrier2022">Formulaire!$J$128</definedName>
    <definedName name="SalairesJanvier2022">Formulaire!$H$128</definedName>
    <definedName name="SalairesMars2022">Formulaire!$L$128</definedName>
    <definedName name="SecuriteDecembre2021">Formulaire!$F$141</definedName>
    <definedName name="SecuriteFevrier2022">Formulaire!$J$141</definedName>
    <definedName name="SecuriteJanvier2022">Formulaire!$H$141</definedName>
    <definedName name="SecuriteMars2022">Formulaire!$L$141</definedName>
    <definedName name="SiteWeb">Formulaire!$C$41</definedName>
    <definedName name="TaxesDecembre2021">Formulaire!$F$143</definedName>
    <definedName name="TaxesFevrier2022">Formulaire!$J$143</definedName>
    <definedName name="TaxesJanvier2022">Formulaire!$H$143</definedName>
    <definedName name="TaxesMars2022">Formulaire!$L$143</definedName>
    <definedName name="TaxesVehiculeDecembre2021">Formulaire!$F$149</definedName>
    <definedName name="TaxesVehiculeFevrier2022">Formulaire!$J$149</definedName>
    <definedName name="TaxesVehiculeJanvier2022">Formulaire!$H$149</definedName>
    <definedName name="TaxesVehiculeMars2022">Formulaire!$L$149</definedName>
    <definedName name="TelephoneContact">Formulaire!$J$28</definedName>
    <definedName name="TelephoneDecembre2021">Formulaire!$F$157</definedName>
    <definedName name="TelephoneFevrier2022">Formulaire!$J$157</definedName>
    <definedName name="TelephoneJanvier2022">Formulaire!$H$157</definedName>
    <definedName name="TelephoneMars2022">Formulaire!$L$157</definedName>
    <definedName name="TotalFondPropre2018">Formulaire!$C$70</definedName>
    <definedName name="TotalFondPropre2019">Formulaire!$D$70</definedName>
    <definedName name="VehiculesDecembre2021">Formulaire!$F$133</definedName>
    <definedName name="VehiculesFevrier2022">Formulaire!$J$133</definedName>
    <definedName name="VehiculesJanvier2022">Formulaire!$H$133</definedName>
    <definedName name="VehiculesMars2022">Formulaire!$L$133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15" i="8" l="1"/>
  <c r="P111" i="8"/>
  <c r="P107" i="8"/>
  <c r="P96" i="8"/>
  <c r="N85" i="8"/>
  <c r="C98" i="3"/>
  <c r="F99" i="3"/>
  <c r="E99" i="3"/>
  <c r="D99" i="3"/>
  <c r="C99" i="3"/>
  <c r="F98" i="3"/>
  <c r="E98" i="3"/>
  <c r="D98" i="3"/>
  <c r="G98" i="3" l="1"/>
  <c r="G99" i="3"/>
  <c r="N63" i="8"/>
  <c r="N114" i="8"/>
  <c r="P134" i="8"/>
  <c r="P133" i="8"/>
  <c r="P132" i="8"/>
  <c r="P131" i="8"/>
  <c r="P130" i="8"/>
  <c r="P129" i="8"/>
  <c r="P128" i="8"/>
  <c r="P127" i="8"/>
  <c r="P126" i="8"/>
  <c r="P125" i="8"/>
  <c r="P124" i="8"/>
  <c r="P123" i="8"/>
  <c r="P122" i="8"/>
  <c r="P121" i="8"/>
  <c r="P120" i="8"/>
  <c r="P119" i="8"/>
  <c r="P118" i="8"/>
  <c r="P117" i="8"/>
  <c r="O134" i="8"/>
  <c r="O133" i="8"/>
  <c r="O132" i="8"/>
  <c r="O131" i="8"/>
  <c r="O130" i="8"/>
  <c r="O129" i="8"/>
  <c r="O128" i="8"/>
  <c r="O127" i="8"/>
  <c r="O126" i="8"/>
  <c r="O125" i="8"/>
  <c r="O124" i="8"/>
  <c r="O123" i="8"/>
  <c r="O122" i="8"/>
  <c r="O121" i="8"/>
  <c r="O120" i="8"/>
  <c r="O119" i="8"/>
  <c r="O118" i="8"/>
  <c r="O117" i="8"/>
  <c r="N134" i="8"/>
  <c r="N133" i="8"/>
  <c r="N132" i="8"/>
  <c r="N131" i="8"/>
  <c r="N130" i="8"/>
  <c r="N129" i="8"/>
  <c r="N128" i="8"/>
  <c r="N127" i="8"/>
  <c r="N126" i="8"/>
  <c r="N125" i="8"/>
  <c r="N124" i="8"/>
  <c r="N123" i="8"/>
  <c r="N122" i="8"/>
  <c r="N121" i="8"/>
  <c r="N120" i="8"/>
  <c r="N119" i="8"/>
  <c r="N118" i="8"/>
  <c r="N117" i="8"/>
  <c r="M134" i="8"/>
  <c r="M133" i="8"/>
  <c r="M132" i="8"/>
  <c r="M131" i="8"/>
  <c r="M130" i="8"/>
  <c r="M129" i="8"/>
  <c r="M128" i="8"/>
  <c r="M127" i="8"/>
  <c r="M126" i="8"/>
  <c r="M125" i="8"/>
  <c r="M124" i="8"/>
  <c r="M123" i="8"/>
  <c r="M122" i="8"/>
  <c r="M121" i="8"/>
  <c r="M120" i="8"/>
  <c r="M119" i="8"/>
  <c r="M118" i="8"/>
  <c r="M117" i="8"/>
  <c r="P116" i="8"/>
  <c r="P114" i="8"/>
  <c r="P113" i="8"/>
  <c r="P112" i="8"/>
  <c r="P110" i="8"/>
  <c r="P109" i="8"/>
  <c r="P108" i="8"/>
  <c r="O116" i="8"/>
  <c r="O115" i="8"/>
  <c r="O114" i="8"/>
  <c r="O113" i="8"/>
  <c r="O112" i="8"/>
  <c r="O111" i="8"/>
  <c r="O110" i="8"/>
  <c r="O109" i="8"/>
  <c r="N116" i="8"/>
  <c r="N115" i="8"/>
  <c r="N113" i="8"/>
  <c r="N112" i="8"/>
  <c r="N111" i="8"/>
  <c r="N110" i="8"/>
  <c r="N109" i="8"/>
  <c r="M116" i="8"/>
  <c r="M115" i="8"/>
  <c r="M114" i="8"/>
  <c r="M113" i="8"/>
  <c r="M112" i="8"/>
  <c r="M111" i="8"/>
  <c r="M110" i="8"/>
  <c r="M109" i="8"/>
  <c r="P106" i="8"/>
  <c r="P105" i="8"/>
  <c r="P104" i="8"/>
  <c r="P103" i="8"/>
  <c r="O108" i="8"/>
  <c r="O107" i="8"/>
  <c r="O106" i="8"/>
  <c r="O105" i="8"/>
  <c r="O104" i="8"/>
  <c r="O103" i="8"/>
  <c r="N108" i="8"/>
  <c r="N107" i="8"/>
  <c r="N106" i="8"/>
  <c r="N105" i="8"/>
  <c r="N104" i="8"/>
  <c r="N103" i="8"/>
  <c r="P102" i="8"/>
  <c r="O102" i="8"/>
  <c r="N102" i="8"/>
  <c r="M108" i="8"/>
  <c r="M107" i="8"/>
  <c r="M106" i="8"/>
  <c r="M105" i="8"/>
  <c r="M104" i="8"/>
  <c r="M103" i="8"/>
  <c r="M102" i="8"/>
  <c r="P101" i="8"/>
  <c r="P100" i="8"/>
  <c r="P99" i="8"/>
  <c r="P98" i="8"/>
  <c r="O101" i="8"/>
  <c r="O100" i="8"/>
  <c r="O99" i="8"/>
  <c r="O98" i="8"/>
  <c r="N101" i="8"/>
  <c r="N100" i="8"/>
  <c r="N99" i="8"/>
  <c r="N98" i="8"/>
  <c r="M101" i="8"/>
  <c r="M100" i="8"/>
  <c r="M99" i="8"/>
  <c r="M98" i="8"/>
  <c r="P97" i="8"/>
  <c r="P95" i="8"/>
  <c r="P94" i="8"/>
  <c r="O97" i="8"/>
  <c r="O96" i="8"/>
  <c r="O95" i="8"/>
  <c r="O94" i="8"/>
  <c r="N97" i="8"/>
  <c r="N96" i="8"/>
  <c r="N95" i="8"/>
  <c r="N94" i="8"/>
  <c r="M97" i="8"/>
  <c r="M96" i="8"/>
  <c r="M95" i="8"/>
  <c r="M94" i="8"/>
  <c r="P93" i="8"/>
  <c r="O93" i="8"/>
  <c r="N93" i="8"/>
  <c r="M93" i="8"/>
  <c r="P92" i="8"/>
  <c r="O92" i="8"/>
  <c r="N92" i="8"/>
  <c r="M92" i="8"/>
  <c r="P91" i="8"/>
  <c r="O91" i="8"/>
  <c r="N91" i="8"/>
  <c r="M91" i="8"/>
  <c r="P85" i="8"/>
  <c r="O85" i="8"/>
  <c r="M85" i="8"/>
  <c r="P84" i="8"/>
  <c r="O84" i="8"/>
  <c r="N84" i="8"/>
  <c r="M84" i="8"/>
  <c r="P83" i="8"/>
  <c r="O83" i="8"/>
  <c r="N83" i="8"/>
  <c r="M83" i="8"/>
  <c r="AD77" i="8"/>
  <c r="AC77" i="8"/>
  <c r="AB77" i="8"/>
  <c r="AA77" i="8"/>
  <c r="Z77" i="8"/>
  <c r="Y77" i="8"/>
  <c r="X77" i="8"/>
  <c r="W77" i="8"/>
  <c r="V77" i="8"/>
  <c r="U77" i="8"/>
  <c r="T77" i="8"/>
  <c r="S77" i="8"/>
  <c r="R77" i="8"/>
  <c r="Q77" i="8"/>
  <c r="P77" i="8"/>
  <c r="O77" i="8"/>
  <c r="N77" i="8"/>
  <c r="M77" i="8"/>
  <c r="N71" i="8"/>
  <c r="M71" i="8"/>
  <c r="N64" i="8"/>
  <c r="M64" i="8"/>
  <c r="M63" i="8"/>
  <c r="N62" i="8"/>
  <c r="M62"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V83" i="3" l="1"/>
  <c r="L168" i="3" l="1"/>
  <c r="J168" i="3"/>
  <c r="H168" i="3"/>
  <c r="F168" i="3"/>
  <c r="F97" i="3"/>
  <c r="F100" i="3" s="1"/>
  <c r="E97" i="3"/>
  <c r="E100" i="3" s="1"/>
  <c r="D97" i="3"/>
  <c r="D100" i="3" s="1"/>
  <c r="C97" i="3"/>
  <c r="C100" i="3" s="1"/>
  <c r="G96" i="3"/>
  <c r="G95" i="3"/>
  <c r="G94" i="3"/>
  <c r="G100" i="3" l="1"/>
  <c r="G97" i="3"/>
</calcChain>
</file>

<file path=xl/sharedStrings.xml><?xml version="1.0" encoding="utf-8"?>
<sst xmlns="http://schemas.openxmlformats.org/spreadsheetml/2006/main" count="363" uniqueCount="316">
  <si>
    <t>Rue</t>
  </si>
  <si>
    <t>Localité</t>
  </si>
  <si>
    <t>Région</t>
  </si>
  <si>
    <t>Forme juridique</t>
  </si>
  <si>
    <t>Nombre de collaborateurs y compris le/les propriétaires actifs dans l'entreprise) au total</t>
  </si>
  <si>
    <t>Dont nombre de collaborateurs basés en Suisse</t>
  </si>
  <si>
    <t>Dont nombre de collaborateurs basés dans le canton de Berne</t>
  </si>
  <si>
    <t>Fonction</t>
  </si>
  <si>
    <t>Code postal</t>
  </si>
  <si>
    <t>Cas spéciaux</t>
  </si>
  <si>
    <t xml:space="preserve">Personne de contact (habilitée à représenter la société) </t>
  </si>
  <si>
    <t>Nombre d'équivalents plein temps dans le canton de Berne</t>
  </si>
  <si>
    <t>Adresse e-mail</t>
  </si>
  <si>
    <t>Prénom</t>
  </si>
  <si>
    <t>Region</t>
  </si>
  <si>
    <t>Jura bernois</t>
  </si>
  <si>
    <t>Bienne-Seeland</t>
  </si>
  <si>
    <t>Bern-Mittelland</t>
  </si>
  <si>
    <t>Oberaargau</t>
  </si>
  <si>
    <t>Emmental</t>
  </si>
  <si>
    <t>Oberland</t>
  </si>
  <si>
    <t>SA</t>
  </si>
  <si>
    <t>Sàrl</t>
  </si>
  <si>
    <t>Individuelle</t>
  </si>
  <si>
    <t>Code Postal</t>
  </si>
  <si>
    <t>Données sur l'entreprise effectuant la demande</t>
  </si>
  <si>
    <t>Compléments d'informations sur l'entreprise</t>
  </si>
  <si>
    <t>A_</t>
  </si>
  <si>
    <t>A1_</t>
  </si>
  <si>
    <t>B_</t>
  </si>
  <si>
    <t>C_</t>
  </si>
  <si>
    <t>D_</t>
  </si>
  <si>
    <t xml:space="preserve">Site web </t>
  </si>
  <si>
    <t>D1_</t>
  </si>
  <si>
    <t>E_</t>
  </si>
  <si>
    <t>Direction de l'économie,  de l'énergie
 et de l'environnement</t>
  </si>
  <si>
    <r>
      <t>Adresse du siège</t>
    </r>
    <r>
      <rPr>
        <i/>
        <sz val="12"/>
        <color theme="1"/>
        <rFont val="Calibri"/>
        <family val="2"/>
        <scheme val="minor"/>
      </rPr>
      <t xml:space="preserve"> (seulement si différente)</t>
    </r>
  </si>
  <si>
    <t xml:space="preserve">Nom </t>
  </si>
  <si>
    <t>N° d'identification des entreprises (IDE)</t>
  </si>
  <si>
    <t>Si "Autre" forme juridique, préciser</t>
  </si>
  <si>
    <t>Autre</t>
  </si>
  <si>
    <t>FR</t>
  </si>
  <si>
    <t>Coordonnés bancaires ou postales de l'entreprise</t>
  </si>
  <si>
    <t>CCP</t>
  </si>
  <si>
    <t>Banque</t>
  </si>
  <si>
    <t>N° de compte</t>
  </si>
  <si>
    <t>N° GCP</t>
  </si>
  <si>
    <t>Comptes annuels</t>
  </si>
  <si>
    <t>Bénéfice (+) ou Perte (-)</t>
  </si>
  <si>
    <t>Total*</t>
  </si>
  <si>
    <t>F_</t>
  </si>
  <si>
    <t>à</t>
  </si>
  <si>
    <t>Activité</t>
  </si>
  <si>
    <t>Artisanat</t>
  </si>
  <si>
    <t>Industrie</t>
  </si>
  <si>
    <t>Commerce</t>
  </si>
  <si>
    <t>Restauration</t>
  </si>
  <si>
    <t>Hôtellerie</t>
  </si>
  <si>
    <t>Evénementiel</t>
  </si>
  <si>
    <t>Agences de voyage</t>
  </si>
  <si>
    <t>Entreprises touristiques</t>
  </si>
  <si>
    <t>Santé – soins</t>
  </si>
  <si>
    <t>Autres services à la personne</t>
  </si>
  <si>
    <t>Loisirs et sport</t>
  </si>
  <si>
    <t>Consulting</t>
  </si>
  <si>
    <t>Autres activités</t>
  </si>
  <si>
    <t>IBAN (entreprise)</t>
  </si>
  <si>
    <r>
      <t xml:space="preserve">Données fiscales </t>
    </r>
    <r>
      <rPr>
        <i/>
        <sz val="12"/>
        <color theme="1"/>
        <rFont val="Calibri"/>
        <family val="2"/>
        <scheme val="minor"/>
      </rPr>
      <t>(personne physique ou morale)</t>
    </r>
  </si>
  <si>
    <t>Office de l'économie</t>
  </si>
  <si>
    <t>Date de la demande</t>
  </si>
  <si>
    <t xml:space="preserve">*Ne rien introduire: calculé par le système </t>
  </si>
  <si>
    <t>Une fois rempli, veuillez le renvoyer uniquement en format Excel à l'adresse suivante: covid.support@be.ch</t>
  </si>
  <si>
    <t>Rue / Case Postale</t>
  </si>
  <si>
    <t>Dans ce cas, indiquez les chiffres d’affaires effectifs, nous reconstituerons la calculation sur 12 mois.</t>
  </si>
  <si>
    <t>Dans ce cas inscrivez les chiffres 2017-18 sous 2018 et les chiffres 2018-19 sous 2019 et envoyez également le bouclement 2019-20 sous forme pdf en annexe.</t>
  </si>
  <si>
    <t>Mensualités de leasing payées</t>
  </si>
  <si>
    <t>Charges des locaux</t>
  </si>
  <si>
    <t>Electricité/eau</t>
  </si>
  <si>
    <t>Taxes et autorisations</t>
  </si>
  <si>
    <t>Entretien</t>
  </si>
  <si>
    <t>Véhicules d'entreprise</t>
  </si>
  <si>
    <t>Assurances</t>
  </si>
  <si>
    <t>Frais administratifs</t>
  </si>
  <si>
    <t>Frais de publicité</t>
  </si>
  <si>
    <t>Frais financiers</t>
  </si>
  <si>
    <t>En CHF</t>
  </si>
  <si>
    <t>Pour les équipements et installations</t>
  </si>
  <si>
    <t>Pour les véhicules d'entreprise</t>
  </si>
  <si>
    <t>Pour l'informatique</t>
  </si>
  <si>
    <t>Charges accessoires</t>
  </si>
  <si>
    <t>Chauffage</t>
  </si>
  <si>
    <t>Nettoyage</t>
  </si>
  <si>
    <t>Sécurité</t>
  </si>
  <si>
    <t>Intérêts sur emprunts existants</t>
  </si>
  <si>
    <t>Contrats fixes existants</t>
  </si>
  <si>
    <t>Copieurs/imprimantes - redevances fixes</t>
  </si>
  <si>
    <t>Informatique - licences</t>
  </si>
  <si>
    <t>Honoraires fiduciaire - traitement dossier usuel</t>
  </si>
  <si>
    <t>Patentes, droits d'exploiter</t>
  </si>
  <si>
    <t>Contrats fixes pour les installations</t>
  </si>
  <si>
    <t>Taxes circulation</t>
  </si>
  <si>
    <t>Incendie/bâtiment</t>
  </si>
  <si>
    <t>Choses</t>
  </si>
  <si>
    <t>Responsabilité civile</t>
  </si>
  <si>
    <t>Perte d'exploitation</t>
  </si>
  <si>
    <t>Protection juridique</t>
  </si>
  <si>
    <t>Téléphonie</t>
  </si>
  <si>
    <t>Internet</t>
  </si>
  <si>
    <t>Cotisations professionnelles</t>
  </si>
  <si>
    <t>Pour fermeture d'au minimum 40j</t>
  </si>
  <si>
    <t>Pour réduction de CA &gt;40%</t>
  </si>
  <si>
    <t>N° de mobile</t>
  </si>
  <si>
    <t>Total des fonds propres</t>
  </si>
  <si>
    <t>Montant reçu pour les RHT</t>
  </si>
  <si>
    <t>Type</t>
  </si>
  <si>
    <t>Taxes ordures, déchets</t>
  </si>
  <si>
    <t>EnCas4</t>
  </si>
  <si>
    <t>X</t>
  </si>
  <si>
    <t>Janv 21</t>
  </si>
  <si>
    <t>Chiffre d’affaires de l’activité commerciale (hors TVA)</t>
  </si>
  <si>
    <t>Chiffre d’affaires provenant de l’activité commerciale (hors TVA)</t>
  </si>
  <si>
    <t>Févr 21</t>
  </si>
  <si>
    <t>Mars 21</t>
  </si>
  <si>
    <t>Avril 21</t>
  </si>
  <si>
    <t>Mai 21</t>
  </si>
  <si>
    <t>Juin 21</t>
  </si>
  <si>
    <t>Formulaire de demande concernant les mesures pour les cas de rigueur liés au COVID-19 / Période déc.21-mars22</t>
  </si>
  <si>
    <t>(!) Ce formulaire concerne uniquement les entreprises qui auraient eu droit à une aide pour cas de rigueur en 2021 pour fermeture de plus de 40 jours et/ou baisse de chiffre d'affaires de plus de 40% mais qui n'ont pas fait de demande en 2021.</t>
  </si>
  <si>
    <t>Si vous faites une demande globale pour l'entreprise, veuillez indiquer les chiffres totaux</t>
  </si>
  <si>
    <t>Si vous faites une demande par secteur(s) d'activité(s), veuillez indiquer uniquement les chiffres pour le ou les secteurs concernés (si plusieurs secteurs : veuillez additionner les chiffres).</t>
  </si>
  <si>
    <t xml:space="preserve"> Revenus</t>
  </si>
  <si>
    <t>Chiffre d’affaires provenant de l’activité commerciale</t>
  </si>
  <si>
    <t>Montant reçu pour les APG</t>
  </si>
  <si>
    <t>Total des revenus*</t>
  </si>
  <si>
    <t>Total des charges (option 1)*</t>
  </si>
  <si>
    <t>Total des charges (option 2)*</t>
  </si>
  <si>
    <t>Total des charges non couvertes*</t>
  </si>
  <si>
    <t>Les coûts mensuels de déc.21 à mars 22 seront automatiquement calculés sur la base de l'année 2021 (chaque mois correspondra à 1/12 des coûts annuels 2021).</t>
  </si>
  <si>
    <t>Dans ce cas, veuillez remplir le champ suivant:</t>
  </si>
  <si>
    <t>Total en CHF</t>
  </si>
  <si>
    <t>1. Les charges annuelles doivent correspondre à celles mentionnées dans les comptes 2021 (charges variables et charges fixes). Seules les charges qui ont une incidence sur la liquidité sont prises en compte (les amortissements, les provisions et les variations de valeur sont exclues).</t>
  </si>
  <si>
    <t>2. Si l'entreprise boucle à une autre date que le 31 décembre, les charges annuelles doivent correspondre au dernier exercice comptable dont la clôture a été faite en 2021 (p.ex. mars, juin ou sept. 2021).</t>
  </si>
  <si>
    <t>Dans ce cas, veuillez remplir précisément les coûts réels dans les colonnes ci-dessous:</t>
  </si>
  <si>
    <t>Coûts mensuels déc.21-mars22</t>
  </si>
  <si>
    <t>Frais d'achats, marchandises, prestations</t>
  </si>
  <si>
    <t>Prestations de services</t>
  </si>
  <si>
    <t>Charges de personnel</t>
  </si>
  <si>
    <t>Salaires</t>
  </si>
  <si>
    <t>Charges sociales (AVS, AI, APG, AC)</t>
  </si>
  <si>
    <t>Assurances et charges patronales (LPP, LAA, allocations familiales, assurance perte de gain maladie)</t>
  </si>
  <si>
    <t>Autres charges de personnel</t>
  </si>
  <si>
    <t>TOTAL DES CHARGES MENSUELLES (ne rien introduire: calculé par le système)</t>
  </si>
  <si>
    <t>G_</t>
  </si>
  <si>
    <r>
      <rPr>
        <b/>
        <i/>
        <sz val="14"/>
        <color theme="1"/>
        <rFont val="Calibri"/>
        <family val="2"/>
        <scheme val="minor"/>
      </rPr>
      <t>Déc.21 - mars 22:</t>
    </r>
    <r>
      <rPr>
        <b/>
        <i/>
        <sz val="12"/>
        <color theme="1"/>
        <rFont val="Calibri"/>
        <family val="2"/>
        <scheme val="minor"/>
      </rPr>
      <t xml:space="preserve"> Informations financières de l'entreprise </t>
    </r>
  </si>
  <si>
    <t>Option 1 : je choisis d'appliquer la méthode basée sur les coûts moyens 2021</t>
  </si>
  <si>
    <t>Nombre de jours de fermeture ordonnée entre le 01.11.2020 et le 30.06.2021</t>
  </si>
  <si>
    <t>Seules les charges qui ont une incidence sur la liquidité sont prises en compte (les amortissements, les provisions et les variations de valeur sont exclus).</t>
  </si>
  <si>
    <r>
      <t>Matériel et</t>
    </r>
    <r>
      <rPr>
        <sz val="11"/>
        <color theme="1"/>
        <rFont val="Calibri"/>
        <family val="2"/>
        <scheme val="minor"/>
      </rPr>
      <t xml:space="preserve"> marchandises</t>
    </r>
  </si>
  <si>
    <t>Pourcentage de la masse salariale payée en Suisse :</t>
  </si>
  <si>
    <r>
      <t xml:space="preserve">Formulaire pour les </t>
    </r>
    <r>
      <rPr>
        <b/>
        <u/>
        <sz val="12"/>
        <color rgb="FF002060"/>
        <rFont val="Calibri (Corps)"/>
      </rPr>
      <t>PME</t>
    </r>
    <r>
      <rPr>
        <b/>
        <sz val="12"/>
        <color rgb="FF002060"/>
        <rFont val="Calibri (Corps)"/>
      </rPr>
      <t xml:space="preserve"> n'ayant </t>
    </r>
    <r>
      <rPr>
        <b/>
        <u/>
        <sz val="12"/>
        <color rgb="FF002060"/>
        <rFont val="Calibri (Corps)"/>
      </rPr>
      <t>pas reçu d'aide pour cas de rigueur</t>
    </r>
    <r>
      <rPr>
        <b/>
        <sz val="12"/>
        <color rgb="FF002060"/>
        <rFont val="Calibri (Corps)"/>
      </rPr>
      <t xml:space="preserve"> liée au COVID-19 en 2021</t>
    </r>
  </si>
  <si>
    <r>
      <t xml:space="preserve">Une fois rempli, ce formulaire est à renvoyer tel quel, </t>
    </r>
    <r>
      <rPr>
        <b/>
        <sz val="12"/>
        <rFont val="Calibri (Corps)"/>
      </rPr>
      <t>EN FORMAT EXCEL</t>
    </r>
    <r>
      <rPr>
        <sz val="12"/>
        <rFont val="Calibri (Corps)"/>
      </rPr>
      <t xml:space="preserve"> à l'adresse suivante : </t>
    </r>
    <r>
      <rPr>
        <b/>
        <sz val="12"/>
        <rFont val="Calibri (Corps)"/>
      </rPr>
      <t>covid.support@be.ch</t>
    </r>
  </si>
  <si>
    <r>
      <t xml:space="preserve">2) L’entreprise a été </t>
    </r>
    <r>
      <rPr>
        <b/>
        <sz val="10"/>
        <color theme="1"/>
        <rFont val="Calibri"/>
        <family val="2"/>
        <scheme val="minor"/>
      </rPr>
      <t>créée après le 1</t>
    </r>
    <r>
      <rPr>
        <b/>
        <vertAlign val="superscript"/>
        <sz val="10"/>
        <color theme="1"/>
        <rFont val="Calibri"/>
        <family val="2"/>
        <scheme val="minor"/>
      </rPr>
      <t>er</t>
    </r>
    <r>
      <rPr>
        <b/>
        <sz val="10"/>
        <color theme="1"/>
        <rFont val="Calibri"/>
        <family val="2"/>
        <scheme val="minor"/>
      </rPr>
      <t xml:space="preserve"> janvier 2018</t>
    </r>
    <r>
      <rPr>
        <sz val="10"/>
        <color theme="1"/>
        <rFont val="Calibri"/>
        <family val="2"/>
        <scheme val="minor"/>
      </rPr>
      <t>, soit le (jj.mm.aaaa) :</t>
    </r>
  </si>
  <si>
    <r>
      <t xml:space="preserve">4) L'entreprise est séparée en plusieurs domaines d'activités et possède une </t>
    </r>
    <r>
      <rPr>
        <b/>
        <sz val="10"/>
        <color theme="1"/>
        <rFont val="Calibri"/>
        <family val="2"/>
        <scheme val="minor"/>
      </rPr>
      <t>comptabilité par secteur</t>
    </r>
    <r>
      <rPr>
        <sz val="10"/>
        <color theme="1"/>
        <rFont val="Calibri"/>
        <family val="2"/>
        <scheme val="minor"/>
      </rPr>
      <t>. Les chiffres indiqués concernent uniquement un ou plusieurs secteurs bien séparés. Si oui, marquer le champ par un "X"</t>
    </r>
  </si>
  <si>
    <r>
      <t xml:space="preserve">5) L'entreprise exerce une activité de </t>
    </r>
    <r>
      <rPr>
        <b/>
        <sz val="10"/>
        <color theme="1"/>
        <rFont val="Calibri"/>
        <family val="2"/>
        <scheme val="minor"/>
      </rPr>
      <t>forain</t>
    </r>
    <r>
      <rPr>
        <sz val="10"/>
        <color theme="1"/>
        <rFont val="Calibri"/>
        <family val="2"/>
        <scheme val="minor"/>
      </rPr>
      <t xml:space="preserve"> et est titutlaire d'une autorisation cantonale en vertu de l'art. 2 de la loi fédérale du 23 mars 2021 sur le commerce itinérant. Si oui, marquer le champ par un "X".</t>
    </r>
  </si>
  <si>
    <t>Date d'inscription au RC (jj.mm.aaaa)</t>
  </si>
  <si>
    <t>En 2021, j'aurais eu droit à l'aide suivante</t>
  </si>
  <si>
    <t xml:space="preserve">Veuillez indiquer l'option choisie pour le calcul des charges: </t>
  </si>
  <si>
    <t>Charges de l'entreprise</t>
  </si>
  <si>
    <t>F1_</t>
  </si>
  <si>
    <t>F3_</t>
  </si>
  <si>
    <t>Si vous faites une demande par secteur(s) d'activité(s), veuillez indiquer les revenus et charges ci-dessous  pour le(s) même(s) secteur(s) que celui/ceux indiqué(s) dans le point F</t>
  </si>
  <si>
    <t>G1_</t>
  </si>
  <si>
    <t>G2_</t>
  </si>
  <si>
    <t>Informations financières sur l'entreprise 2018-2021</t>
  </si>
  <si>
    <t>Total</t>
  </si>
  <si>
    <r>
      <t>1) L’entreprise boucle à une</t>
    </r>
    <r>
      <rPr>
        <b/>
        <sz val="10"/>
        <color theme="1"/>
        <rFont val="Calibri"/>
        <family val="2"/>
        <scheme val="minor"/>
      </rPr>
      <t xml:space="preserve"> autre date que le 31 décembre</t>
    </r>
    <r>
      <rPr>
        <sz val="10"/>
        <color theme="1"/>
        <rFont val="Calibri"/>
        <family val="2"/>
        <scheme val="minor"/>
      </rPr>
      <t>, les chiffres ci-dessous sont pour la période : (jj.mm.aaaa) à (jj.mm.aaaa)</t>
    </r>
  </si>
  <si>
    <r>
      <t xml:space="preserve">3) </t>
    </r>
    <r>
      <rPr>
        <b/>
        <sz val="10"/>
        <color theme="1"/>
        <rFont val="Calibri"/>
        <family val="2"/>
        <scheme val="minor"/>
      </rPr>
      <t>Un des exercices comptables</t>
    </r>
    <r>
      <rPr>
        <sz val="10"/>
        <color theme="1"/>
        <rFont val="Calibri"/>
        <family val="2"/>
        <scheme val="minor"/>
      </rPr>
      <t xml:space="preserve"> ci-dessous porte sur une</t>
    </r>
    <r>
      <rPr>
        <b/>
        <sz val="10"/>
        <color theme="1"/>
        <rFont val="Calibri"/>
        <family val="2"/>
        <scheme val="minor"/>
      </rPr>
      <t xml:space="preserve"> autre période que 12 mois</t>
    </r>
    <r>
      <rPr>
        <sz val="10"/>
        <color theme="1"/>
        <rFont val="Calibri"/>
        <family val="2"/>
        <scheme val="minor"/>
      </rPr>
      <t>, si oui lequel et sur combien de mois porte-t-il : (en texte)</t>
    </r>
  </si>
  <si>
    <t>Chiffres globaux de l'entreprise</t>
  </si>
  <si>
    <t>F2_</t>
  </si>
  <si>
    <t>Comptes annuels des secteurs concernés</t>
  </si>
  <si>
    <t>F4_</t>
  </si>
  <si>
    <t>Chiffres d'affaire par secteu(s)</t>
  </si>
  <si>
    <t>Veuillez indiquer les chiffres globaux même si vous faites une demande par secteur(s) d'activité</t>
  </si>
  <si>
    <t>Langue</t>
  </si>
  <si>
    <t>Type22</t>
  </si>
  <si>
    <t>Date</t>
  </si>
  <si>
    <t>DroitAide2021</t>
  </si>
  <si>
    <t>NombreJoursFermeture</t>
  </si>
  <si>
    <t>RueEntreprise</t>
  </si>
  <si>
    <t>NomEntreprise</t>
  </si>
  <si>
    <t>CodePostaleEntreprise</t>
  </si>
  <si>
    <t>LocaliteEntreprise</t>
  </si>
  <si>
    <t>RegionEntreprise</t>
  </si>
  <si>
    <t>RueSiege</t>
  </si>
  <si>
    <t>CodePostaleSiege</t>
  </si>
  <si>
    <t>LocaliteSiege</t>
  </si>
  <si>
    <t>RegionSiege</t>
  </si>
  <si>
    <t>NomContact</t>
  </si>
  <si>
    <t>PrenomContact</t>
  </si>
  <si>
    <t>FonctionContact</t>
  </si>
  <si>
    <t>RueContact</t>
  </si>
  <si>
    <t>CodePostalContact</t>
  </si>
  <si>
    <t>LocaliteContact</t>
  </si>
  <si>
    <t>MailContact</t>
  </si>
  <si>
    <t>TelephoneContact</t>
  </si>
  <si>
    <t>PortableContact</t>
  </si>
  <si>
    <t>IDE</t>
  </si>
  <si>
    <t>FormeJuridique</t>
  </si>
  <si>
    <t>AutreFormeJuridique</t>
  </si>
  <si>
    <t>DateInscriptionRC</t>
  </si>
  <si>
    <t>Activite</t>
  </si>
  <si>
    <t>SiteWeb</t>
  </si>
  <si>
    <t>CollaborateurTotal</t>
  </si>
  <si>
    <t>CollaborateurSuisse</t>
  </si>
  <si>
    <t>CollaborateurBerne</t>
  </si>
  <si>
    <t>EquivalentTempsPlein</t>
  </si>
  <si>
    <t>Iban</t>
  </si>
  <si>
    <t>NumeroCompte</t>
  </si>
  <si>
    <t>GCP</t>
  </si>
  <si>
    <t>Cas1_1</t>
  </si>
  <si>
    <t>Cas1_2</t>
  </si>
  <si>
    <t>Cas_2</t>
  </si>
  <si>
    <t>Cas_3</t>
  </si>
  <si>
    <t>Cas_4</t>
  </si>
  <si>
    <t>Cas_5</t>
  </si>
  <si>
    <t>PourcentageMasseSalariale</t>
  </si>
  <si>
    <t>OptionCalculdesCharges</t>
  </si>
  <si>
    <t>ChargesAnnuelles</t>
  </si>
  <si>
    <t>Libelle</t>
  </si>
  <si>
    <t>Cpt</t>
  </si>
  <si>
    <t>CACom</t>
  </si>
  <si>
    <t>BeneficeFinal</t>
  </si>
  <si>
    <t>TotalFondPropre</t>
  </si>
  <si>
    <t>CAComSecteur</t>
  </si>
  <si>
    <r>
      <rPr>
        <b/>
        <i/>
        <sz val="14"/>
        <color theme="1"/>
        <rFont val="Calibri"/>
        <family val="2"/>
        <scheme val="minor"/>
      </rPr>
      <t>2020-2021</t>
    </r>
    <r>
      <rPr>
        <b/>
        <i/>
        <sz val="12"/>
        <color theme="1"/>
        <rFont val="Calibri"/>
        <family val="2"/>
        <scheme val="minor"/>
      </rPr>
      <t xml:space="preserve"> : informations sur les revenus de l'entreprise </t>
    </r>
  </si>
  <si>
    <t>Janvier</t>
  </si>
  <si>
    <t>Fevrier</t>
  </si>
  <si>
    <t>Mars</t>
  </si>
  <si>
    <t>Avril</t>
  </si>
  <si>
    <t>Mai</t>
  </si>
  <si>
    <t>Juin</t>
  </si>
  <si>
    <t>Juillet</t>
  </si>
  <si>
    <t>Aout</t>
  </si>
  <si>
    <t>Septembre</t>
  </si>
  <si>
    <t>Octobre</t>
  </si>
  <si>
    <t>Novembre</t>
  </si>
  <si>
    <t>Decembre</t>
  </si>
  <si>
    <t>Janvier21</t>
  </si>
  <si>
    <t>Fevrier21</t>
  </si>
  <si>
    <t>Mars21</t>
  </si>
  <si>
    <t>Avril21</t>
  </si>
  <si>
    <t>Mai21</t>
  </si>
  <si>
    <t>Juin21</t>
  </si>
  <si>
    <t>G1_ Revenus</t>
  </si>
  <si>
    <t>CAComRevenue</t>
  </si>
  <si>
    <t>CAComRevenu</t>
  </si>
  <si>
    <t>MontantRevenuRHT</t>
  </si>
  <si>
    <t>MontantRevenuAPG</t>
  </si>
  <si>
    <t>Fevrier2022</t>
  </si>
  <si>
    <t>Decembre2021</t>
  </si>
  <si>
    <t>Janvier2022</t>
  </si>
  <si>
    <t>Mars2022</t>
  </si>
  <si>
    <t>Materiel</t>
  </si>
  <si>
    <t>Prestation</t>
  </si>
  <si>
    <t>AutreFraisAchat</t>
  </si>
  <si>
    <t>ChargesSociale</t>
  </si>
  <si>
    <t>Assurance</t>
  </si>
  <si>
    <t>AutresCharges</t>
  </si>
  <si>
    <t>AutreMensualite</t>
  </si>
  <si>
    <t>Informatique</t>
  </si>
  <si>
    <t>Vehicules</t>
  </si>
  <si>
    <t>Equipement</t>
  </si>
  <si>
    <t>Loyer</t>
  </si>
  <si>
    <t>ChargesAccessoires</t>
  </si>
  <si>
    <t>Electricite</t>
  </si>
  <si>
    <t>Securite</t>
  </si>
  <si>
    <t>AutreLocaux</t>
  </si>
  <si>
    <t>Taxes</t>
  </si>
  <si>
    <t>Patente</t>
  </si>
  <si>
    <t>AutreTaxes</t>
  </si>
  <si>
    <t>Contrat</t>
  </si>
  <si>
    <t>AutreEntretien</t>
  </si>
  <si>
    <t>AssuranceVehicule</t>
  </si>
  <si>
    <t>TaxesVehicule</t>
  </si>
  <si>
    <t>AutreVehicule</t>
  </si>
  <si>
    <t>Incendie</t>
  </si>
  <si>
    <t>Responsabilite</t>
  </si>
  <si>
    <t>Exploitation</t>
  </si>
  <si>
    <t>Protection</t>
  </si>
  <si>
    <t>AutreAssurance</t>
  </si>
  <si>
    <t>Telephone</t>
  </si>
  <si>
    <t>Cotisation</t>
  </si>
  <si>
    <t>Honoraire</t>
  </si>
  <si>
    <t>FraisInfo</t>
  </si>
  <si>
    <t>Copieur</t>
  </si>
  <si>
    <t>AutreFrais</t>
  </si>
  <si>
    <t>FraisContrat</t>
  </si>
  <si>
    <t>AutrePub</t>
  </si>
  <si>
    <t>Amortissement</t>
  </si>
  <si>
    <t>AutreFinance</t>
  </si>
  <si>
    <t>InteretFrais</t>
  </si>
  <si>
    <t>Si vous faites une demande par secteur(s), veuillez indiquer le chiffre d'affaire du ou des secteurs concernés (si plusieurs secteurs: veuillez additionner les chiffres)</t>
  </si>
  <si>
    <t>Forain</t>
  </si>
  <si>
    <t xml:space="preserve">Transport </t>
  </si>
  <si>
    <t>Option</t>
  </si>
  <si>
    <t>Option 1: coûts moyens 2021</t>
  </si>
  <si>
    <t>Option 2: coûts réels</t>
  </si>
  <si>
    <t>Nom de l'entreprise</t>
  </si>
  <si>
    <t>Charges annuelles pour l'année 2021</t>
  </si>
  <si>
    <r>
      <t xml:space="preserve">Remplissez uniquement les </t>
    </r>
    <r>
      <rPr>
        <b/>
        <sz val="11"/>
        <color rgb="FFFF0000"/>
        <rFont val="Calibri"/>
        <family val="2"/>
        <scheme val="minor"/>
      </rPr>
      <t>12 mois consécutifs</t>
    </r>
    <r>
      <rPr>
        <sz val="11"/>
        <color rgb="FFFF0000"/>
        <rFont val="Calibri"/>
        <family val="2"/>
        <scheme val="minor"/>
      </rPr>
      <t xml:space="preserve"> que vous choisissez pour le calcul du recul du chiffre d’affaires </t>
    </r>
  </si>
  <si>
    <t xml:space="preserve">Le formulaire doit être entièrement rempli y compris le tableau correspondant à l'option choisie pour le calcul des charges  </t>
  </si>
  <si>
    <t>N° de téléphone fixe</t>
  </si>
  <si>
    <r>
      <t xml:space="preserve">Tous les champs indiqués en </t>
    </r>
    <r>
      <rPr>
        <b/>
        <sz val="12"/>
        <color theme="4" tint="0.39997558519241921"/>
        <rFont val="Calibri (Corps)"/>
      </rPr>
      <t>bleu</t>
    </r>
    <r>
      <rPr>
        <sz val="12"/>
        <rFont val="Calibri (Corps)"/>
      </rPr>
      <t xml:space="preserve"> ci-dessous doivent être remplis. Veuillez remplir les chiffres dans les tableaux sans ajouter de caractères spéciaux ni de séparateurs de milliers (d'apostrophe). Veuillez ne pas modifier la forme des tableaux ni ajouter de colonne ou de champ. </t>
    </r>
    <r>
      <rPr>
        <b/>
        <sz val="12"/>
        <rFont val="Calibri (Corps)"/>
      </rPr>
      <t>Les demandes incomplètes ou modifiées ne pourront pas être traitées.</t>
    </r>
  </si>
  <si>
    <t>PME_NouvelleAide</t>
  </si>
  <si>
    <t>Option 2 : je choisis d'appliquer la méthode basée sur les coûts réels déc.21-mars22 (les coûts janv-mars 22 doivent correspondre au bouclement trimerstriel)</t>
  </si>
  <si>
    <t>Loyers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</si>
</sst>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0"/>
  </numFmts>
  <fonts count="45">
    <font>
      <sz val="11"/>
      <color theme="1"/>
      <name val="Calibri"/>
      <family val="2"/>
      <scheme val="minor"/>
    </font>
    <font>
      <b/>
      <sz val="11"/>
      <color theme="1"/>
      <name val="Calibri"/>
      <family val="2"/>
      <scheme val="minor"/>
    </font>
    <font>
      <sz val="10.5"/>
      <color theme="1"/>
      <name val="Arial"/>
      <family val="2"/>
    </font>
    <font>
      <u/>
      <sz val="11"/>
      <color theme="10"/>
      <name val="Calibri"/>
      <family val="2"/>
      <scheme val="minor"/>
    </font>
    <font>
      <i/>
      <sz val="11"/>
      <color theme="1"/>
      <name val="Calibri"/>
      <family val="2"/>
      <scheme val="minor"/>
    </font>
    <font>
      <sz val="11"/>
      <color rgb="FFFF0000"/>
      <name val="Calibri"/>
      <family val="2"/>
      <scheme val="minor"/>
    </font>
    <font>
      <b/>
      <i/>
      <sz val="11"/>
      <color theme="1"/>
      <name val="Calibri"/>
      <family val="2"/>
      <scheme val="minor"/>
    </font>
    <font>
      <sz val="18"/>
      <color rgb="FFC00000"/>
      <name val="Calibri (Corps)"/>
    </font>
    <font>
      <sz val="12"/>
      <color rgb="FFC00000"/>
      <name val="Calibri (Corps)"/>
    </font>
    <font>
      <sz val="12"/>
      <color rgb="FFC00000"/>
      <name val="Calibri"/>
      <family val="2"/>
      <scheme val="minor"/>
    </font>
    <font>
      <sz val="10"/>
      <color theme="1"/>
      <name val="Calibri"/>
      <family val="2"/>
      <scheme val="minor"/>
    </font>
    <font>
      <sz val="12"/>
      <color theme="1"/>
      <name val="Calibri (Corps)"/>
    </font>
    <font>
      <sz val="12"/>
      <color theme="1"/>
      <name val="Calibri"/>
      <family val="2"/>
      <scheme val="minor"/>
    </font>
    <font>
      <b/>
      <i/>
      <sz val="12"/>
      <color theme="1"/>
      <name val="Calibri"/>
      <family val="2"/>
      <scheme val="minor"/>
    </font>
    <font>
      <i/>
      <sz val="12"/>
      <color theme="1"/>
      <name val="Calibri"/>
      <family val="2"/>
      <scheme val="minor"/>
    </font>
    <font>
      <i/>
      <sz val="12"/>
      <color rgb="FF000000"/>
      <name val="Calibri"/>
      <family val="2"/>
      <scheme val="minor"/>
    </font>
    <font>
      <i/>
      <sz val="12"/>
      <color theme="1"/>
      <name val="Arial"/>
      <family val="2"/>
    </font>
    <font>
      <b/>
      <sz val="12"/>
      <color theme="1"/>
      <name val="Calibri"/>
      <family val="2"/>
      <scheme val="minor"/>
    </font>
    <font>
      <u/>
      <sz val="12"/>
      <color theme="10"/>
      <name val="Calibri"/>
      <family val="2"/>
      <scheme val="minor"/>
    </font>
    <font>
      <i/>
      <sz val="11"/>
      <color theme="1"/>
      <name val="Arial"/>
      <family val="2"/>
    </font>
    <font>
      <sz val="12"/>
      <name val="Calibri"/>
      <family val="2"/>
      <scheme val="minor"/>
    </font>
    <font>
      <i/>
      <sz val="11"/>
      <name val="Calibri"/>
      <family val="2"/>
      <scheme val="minor"/>
    </font>
    <font>
      <sz val="18"/>
      <name val="Calibri (Corps)"/>
    </font>
    <font>
      <sz val="18"/>
      <name val="Calibri"/>
      <family val="2"/>
      <scheme val="minor"/>
    </font>
    <font>
      <sz val="12"/>
      <name val="Calibri (Corps)"/>
    </font>
    <font>
      <b/>
      <sz val="12"/>
      <name val="Calibri (Corps)"/>
    </font>
    <font>
      <sz val="11"/>
      <name val="Calibri"/>
      <family val="2"/>
      <scheme val="minor"/>
    </font>
    <font>
      <b/>
      <sz val="11"/>
      <color rgb="FFFF0000"/>
      <name val="Calibri"/>
      <family val="2"/>
      <scheme val="minor"/>
    </font>
    <font>
      <b/>
      <sz val="12"/>
      <name val="Calibri"/>
      <family val="2"/>
      <scheme val="minor"/>
    </font>
    <font>
      <b/>
      <sz val="14"/>
      <name val="Calibri"/>
      <family val="2"/>
      <scheme val="minor"/>
    </font>
    <font>
      <b/>
      <sz val="12"/>
      <color rgb="FF002060"/>
      <name val="Calibri (Corps)"/>
    </font>
    <font>
      <sz val="12"/>
      <color rgb="FF002060"/>
      <name val="Calibri (Corps)"/>
    </font>
    <font>
      <b/>
      <sz val="14"/>
      <color theme="1"/>
      <name val="Calibri"/>
      <family val="2"/>
      <scheme val="minor"/>
    </font>
    <font>
      <b/>
      <i/>
      <sz val="14"/>
      <color theme="1"/>
      <name val="Calibri"/>
      <family val="2"/>
      <scheme val="minor"/>
    </font>
    <font>
      <b/>
      <sz val="12"/>
      <color theme="1"/>
      <name val="Calibri (Corps)"/>
    </font>
    <font>
      <b/>
      <u/>
      <sz val="12"/>
      <color rgb="FF002060"/>
      <name val="Calibri (Corps)"/>
    </font>
    <font>
      <i/>
      <sz val="11"/>
      <color rgb="FF002060"/>
      <name val="Calibri"/>
      <family val="2"/>
      <scheme val="minor"/>
    </font>
    <font>
      <b/>
      <sz val="10"/>
      <color theme="1"/>
      <name val="Calibri"/>
      <family val="2"/>
      <scheme val="minor"/>
    </font>
    <font>
      <b/>
      <vertAlign val="superscript"/>
      <sz val="10"/>
      <color theme="1"/>
      <name val="Calibri"/>
      <family val="2"/>
      <scheme val="minor"/>
    </font>
    <font>
      <b/>
      <sz val="12"/>
      <color theme="4" tint="0.39997558519241921"/>
      <name val="Calibri (Corps)"/>
    </font>
    <font>
      <b/>
      <i/>
      <sz val="11"/>
      <color theme="4" tint="-0.249977111117893"/>
      <name val="Calibri"/>
      <family val="2"/>
      <scheme val="minor"/>
    </font>
    <font>
      <b/>
      <i/>
      <sz val="12"/>
      <color theme="1"/>
      <name val="Calibri"/>
      <family val="2"/>
    </font>
    <font>
      <sz val="8"/>
      <name val="Calibri"/>
      <family val="2"/>
      <scheme val="minor"/>
    </font>
    <font>
      <i/>
      <sz val="11"/>
      <color theme="4" tint="-0.249977111117893"/>
      <name val="Calibri"/>
      <family val="2"/>
      <scheme val="minor"/>
    </font>
    <font>
      <i/>
      <sz val="12"/>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299">
    <xf numFmtId="0" fontId="0" fillId="0" borderId="0" xfId="0"/>
    <xf numFmtId="0" fontId="1" fillId="0" borderId="0" xfId="0" applyFont="1"/>
    <xf numFmtId="0" fontId="2" fillId="0" borderId="0" xfId="0" applyFont="1"/>
    <xf numFmtId="0" fontId="0" fillId="0" borderId="0" xfId="0" applyFont="1"/>
    <xf numFmtId="0" fontId="0" fillId="0" borderId="0" xfId="0" applyAlignment="1">
      <alignment horizontal="center"/>
    </xf>
    <xf numFmtId="0" fontId="0" fillId="0" borderId="0" xfId="0" applyAlignment="1">
      <alignment horizontal="center"/>
    </xf>
    <xf numFmtId="0" fontId="0" fillId="0" borderId="2" xfId="0" applyBorder="1"/>
    <xf numFmtId="0" fontId="12" fillId="0" borderId="0" xfId="0" applyFont="1" applyAlignment="1">
      <alignment horizontal="left" vertical="top"/>
    </xf>
    <xf numFmtId="0" fontId="13" fillId="0" borderId="2" xfId="0" applyFont="1" applyBorder="1" applyAlignment="1">
      <alignment horizontal="left" vertical="top"/>
    </xf>
    <xf numFmtId="0" fontId="14" fillId="0" borderId="2" xfId="0" applyFont="1" applyBorder="1" applyAlignment="1">
      <alignment horizontal="left" vertical="top"/>
    </xf>
    <xf numFmtId="0" fontId="15" fillId="0" borderId="2" xfId="0" applyFont="1" applyBorder="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49" fontId="12" fillId="0" borderId="0" xfId="0" applyNumberFormat="1" applyFont="1" applyFill="1" applyBorder="1" applyAlignment="1">
      <alignment horizontal="left" vertical="top"/>
    </xf>
    <xf numFmtId="0" fontId="12" fillId="0" borderId="2" xfId="0" applyFont="1" applyBorder="1" applyAlignment="1">
      <alignment horizontal="left" vertical="top"/>
    </xf>
    <xf numFmtId="0" fontId="4" fillId="0" borderId="0" xfId="0" applyFont="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left" vertical="top"/>
    </xf>
    <xf numFmtId="0" fontId="13" fillId="0" borderId="2" xfId="0" applyFont="1" applyBorder="1" applyAlignment="1">
      <alignment horizontal="right" vertical="top"/>
    </xf>
    <xf numFmtId="49" fontId="12" fillId="0" borderId="0" xfId="0" applyNumberFormat="1" applyFont="1" applyFill="1" applyBorder="1" applyAlignment="1">
      <alignment vertical="top"/>
    </xf>
    <xf numFmtId="0" fontId="4" fillId="0" borderId="0" xfId="0" applyFont="1" applyBorder="1" applyAlignment="1">
      <alignment horizontal="left" vertical="top" wrapText="1"/>
    </xf>
    <xf numFmtId="164" fontId="0" fillId="0" borderId="0" xfId="0" applyNumberFormat="1" applyFont="1" applyFill="1" applyBorder="1" applyAlignment="1">
      <alignment horizontal="right" vertical="top"/>
    </xf>
    <xf numFmtId="0" fontId="0" fillId="0" borderId="0" xfId="0" applyFont="1" applyFill="1" applyBorder="1"/>
    <xf numFmtId="0" fontId="4" fillId="0" borderId="0" xfId="0" applyFont="1" applyBorder="1" applyAlignment="1">
      <alignment vertical="top" wrapText="1"/>
    </xf>
    <xf numFmtId="1" fontId="12" fillId="0" borderId="0" xfId="0" applyNumberFormat="1" applyFont="1" applyFill="1" applyBorder="1" applyAlignment="1">
      <alignment horizontal="left" vertical="top"/>
    </xf>
    <xf numFmtId="49" fontId="18" fillId="0" borderId="0" xfId="1" applyNumberFormat="1" applyFont="1" applyFill="1" applyBorder="1" applyAlignment="1">
      <alignment horizontal="left" vertical="top"/>
    </xf>
    <xf numFmtId="0" fontId="17" fillId="0" borderId="2" xfId="0" applyFont="1" applyBorder="1" applyAlignment="1">
      <alignment horizontal="left" vertical="top"/>
    </xf>
    <xf numFmtId="0" fontId="6" fillId="0" borderId="2" xfId="0" applyFont="1" applyBorder="1" applyAlignment="1">
      <alignment vertical="top" wrapText="1"/>
    </xf>
    <xf numFmtId="0" fontId="0" fillId="0" borderId="0" xfId="0" applyFill="1"/>
    <xf numFmtId="0" fontId="4" fillId="0" borderId="0" xfId="0" applyFont="1" applyFill="1" applyBorder="1" applyAlignment="1">
      <alignment vertical="top" wrapText="1"/>
    </xf>
    <xf numFmtId="49" fontId="0" fillId="0" borderId="0" xfId="0" applyNumberFormat="1" applyFont="1" applyFill="1" applyBorder="1" applyAlignment="1">
      <alignment horizontal="left" vertical="top"/>
    </xf>
    <xf numFmtId="0" fontId="12" fillId="0" borderId="0" xfId="0" applyFont="1" applyFill="1" applyBorder="1" applyAlignment="1">
      <alignment horizontal="left" vertical="top"/>
    </xf>
    <xf numFmtId="164" fontId="12" fillId="0" borderId="0" xfId="0" applyNumberFormat="1" applyFont="1" applyFill="1" applyBorder="1" applyAlignment="1">
      <alignment horizontal="left" vertical="top"/>
    </xf>
    <xf numFmtId="164" fontId="12" fillId="0" borderId="0" xfId="0" applyNumberFormat="1" applyFont="1" applyFill="1" applyBorder="1" applyAlignment="1">
      <alignment horizontal="right" vertical="top" wrapText="1"/>
    </xf>
    <xf numFmtId="0" fontId="4" fillId="0" borderId="0" xfId="0" applyFont="1" applyFill="1" applyBorder="1" applyAlignment="1">
      <alignment horizontal="left" vertical="top" wrapText="1"/>
    </xf>
    <xf numFmtId="0" fontId="1" fillId="0" borderId="13" xfId="0" applyFont="1" applyFill="1" applyBorder="1" applyAlignment="1">
      <alignment horizontal="left" vertical="top" wrapText="1"/>
    </xf>
    <xf numFmtId="0" fontId="21" fillId="0" borderId="0" xfId="0" applyFont="1" applyAlignment="1">
      <alignment horizontal="left" vertical="top" wrapText="1"/>
    </xf>
    <xf numFmtId="0" fontId="12" fillId="0" borderId="0" xfId="0" applyFont="1" applyAlignment="1">
      <alignment horizontal="left"/>
    </xf>
    <xf numFmtId="49" fontId="12" fillId="2" borderId="3" xfId="0" applyNumberFormat="1" applyFont="1" applyFill="1" applyBorder="1" applyAlignment="1">
      <alignment horizontal="left" vertical="top"/>
    </xf>
    <xf numFmtId="49" fontId="12" fillId="2" borderId="1" xfId="0" applyNumberFormat="1" applyFont="1" applyFill="1" applyBorder="1" applyAlignment="1">
      <alignment horizontal="left" vertical="top"/>
    </xf>
    <xf numFmtId="49" fontId="12" fillId="2" borderId="9" xfId="0" applyNumberFormat="1" applyFont="1" applyFill="1" applyBorder="1" applyAlignment="1">
      <alignment horizontal="left" vertical="top"/>
    </xf>
    <xf numFmtId="49" fontId="12" fillId="2" borderId="1" xfId="0" applyNumberFormat="1" applyFont="1" applyFill="1" applyBorder="1" applyAlignment="1">
      <alignment vertical="top"/>
    </xf>
    <xf numFmtId="14" fontId="12" fillId="2" borderId="4" xfId="0" applyNumberFormat="1" applyFont="1" applyFill="1" applyBorder="1" applyAlignment="1">
      <alignment horizontal="left" vertical="top"/>
    </xf>
    <xf numFmtId="3" fontId="12" fillId="2" borderId="1" xfId="0" applyNumberFormat="1" applyFont="1" applyFill="1" applyBorder="1" applyAlignment="1">
      <alignment horizontal="right" vertical="top"/>
    </xf>
    <xf numFmtId="3" fontId="12" fillId="2" borderId="1" xfId="0" applyNumberFormat="1" applyFont="1" applyFill="1" applyBorder="1" applyAlignment="1">
      <alignment horizontal="right" vertical="top" wrapText="1"/>
    </xf>
    <xf numFmtId="3" fontId="12" fillId="2" borderId="12" xfId="0" applyNumberFormat="1" applyFont="1" applyFill="1" applyBorder="1" applyAlignment="1">
      <alignment horizontal="right" vertical="top" wrapText="1"/>
    </xf>
    <xf numFmtId="164" fontId="0" fillId="0" borderId="0" xfId="0" applyNumberFormat="1" applyFont="1" applyFill="1" applyBorder="1" applyAlignment="1">
      <alignment vertical="top" wrapText="1"/>
    </xf>
    <xf numFmtId="0" fontId="17" fillId="0" borderId="0" xfId="0" applyFont="1" applyFill="1" applyBorder="1" applyAlignment="1">
      <alignment vertical="top"/>
    </xf>
    <xf numFmtId="3" fontId="12" fillId="0" borderId="0" xfId="0" applyNumberFormat="1" applyFont="1" applyFill="1" applyBorder="1" applyAlignment="1">
      <alignment vertical="top"/>
    </xf>
    <xf numFmtId="49" fontId="12" fillId="2" borderId="1" xfId="0" applyNumberFormat="1" applyFont="1" applyFill="1" applyBorder="1" applyAlignment="1">
      <alignment horizontal="left" vertical="top"/>
    </xf>
    <xf numFmtId="3" fontId="12" fillId="2" borderId="1" xfId="1" applyNumberFormat="1" applyFont="1" applyFill="1" applyBorder="1" applyAlignment="1">
      <alignment horizontal="right" vertical="top"/>
    </xf>
    <xf numFmtId="0" fontId="0" fillId="0" borderId="16" xfId="0" applyFont="1" applyFill="1" applyBorder="1" applyAlignment="1">
      <alignment vertical="center" wrapText="1"/>
    </xf>
    <xf numFmtId="0" fontId="0" fillId="0" borderId="18" xfId="0" applyFont="1" applyFill="1" applyBorder="1" applyAlignment="1">
      <alignment vertical="center" wrapText="1"/>
    </xf>
    <xf numFmtId="0" fontId="2" fillId="0" borderId="0" xfId="0" applyFont="1" applyAlignment="1">
      <alignment horizontal="left" vertical="center"/>
    </xf>
    <xf numFmtId="4" fontId="12" fillId="2" borderId="1" xfId="0" applyNumberFormat="1" applyFont="1" applyFill="1" applyBorder="1" applyAlignment="1">
      <alignment horizontal="left" vertical="top"/>
    </xf>
    <xf numFmtId="3" fontId="12" fillId="2" borderId="1" xfId="0" applyNumberFormat="1" applyFont="1" applyFill="1" applyBorder="1" applyAlignment="1">
      <alignment horizontal="left" vertical="top"/>
    </xf>
    <xf numFmtId="49" fontId="3" fillId="2" borderId="3" xfId="1" applyNumberFormat="1" applyFill="1" applyBorder="1" applyAlignment="1">
      <alignment horizontal="left" vertical="top"/>
    </xf>
    <xf numFmtId="49" fontId="12" fillId="2" borderId="1" xfId="0" applyNumberFormat="1" applyFont="1" applyFill="1" applyBorder="1" applyAlignment="1">
      <alignment horizontal="left" vertical="top"/>
    </xf>
    <xf numFmtId="0" fontId="21" fillId="0" borderId="0" xfId="0" applyFont="1" applyAlignment="1">
      <alignment horizontal="left" vertical="top"/>
    </xf>
    <xf numFmtId="0" fontId="4"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horizontal="left"/>
    </xf>
    <xf numFmtId="0" fontId="6" fillId="0" borderId="0" xfId="0" applyFont="1"/>
    <xf numFmtId="0" fontId="7" fillId="0" borderId="0" xfId="0" applyFont="1" applyBorder="1" applyAlignment="1">
      <alignment horizontal="left" vertical="top"/>
    </xf>
    <xf numFmtId="0" fontId="8"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left" vertical="top"/>
    </xf>
    <xf numFmtId="0" fontId="12" fillId="0" borderId="0" xfId="0" applyFont="1" applyBorder="1" applyAlignment="1">
      <alignment horizontal="left" vertical="top"/>
    </xf>
    <xf numFmtId="0" fontId="24" fillId="0" borderId="0" xfId="0" applyFont="1" applyBorder="1" applyAlignment="1">
      <alignment vertical="center"/>
    </xf>
    <xf numFmtId="0" fontId="20" fillId="0" borderId="0" xfId="0" applyFont="1"/>
    <xf numFmtId="14" fontId="20" fillId="2" borderId="1" xfId="0" applyNumberFormat="1" applyFont="1" applyFill="1" applyBorder="1" applyAlignment="1">
      <alignment horizontal="center" vertical="center"/>
    </xf>
    <xf numFmtId="0" fontId="10" fillId="0" borderId="0" xfId="0" applyFont="1"/>
    <xf numFmtId="0" fontId="10" fillId="0" borderId="0" xfId="0" applyFont="1" applyAlignment="1">
      <alignment vertical="center"/>
    </xf>
    <xf numFmtId="14" fontId="20" fillId="0" borderId="0" xfId="0" applyNumberFormat="1" applyFont="1" applyFill="1" applyBorder="1" applyAlignment="1">
      <alignment horizontal="center" vertical="center"/>
    </xf>
    <xf numFmtId="0" fontId="21" fillId="0" borderId="0" xfId="0" applyFont="1" applyAlignment="1">
      <alignment horizontal="left" vertical="center" wrapText="1"/>
    </xf>
    <xf numFmtId="49" fontId="0" fillId="0" borderId="0" xfId="0" applyNumberFormat="1" applyFont="1" applyFill="1" applyBorder="1" applyAlignment="1">
      <alignment vertical="center"/>
    </xf>
    <xf numFmtId="49" fontId="0" fillId="2"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20" fillId="0" borderId="0" xfId="0" applyFont="1" applyBorder="1" applyAlignment="1">
      <alignment horizontal="left" vertical="top"/>
    </xf>
    <xf numFmtId="0" fontId="21" fillId="0" borderId="0" xfId="0" applyFont="1" applyAlignment="1">
      <alignment horizontal="left" vertical="top" wrapText="1"/>
    </xf>
    <xf numFmtId="0" fontId="0" fillId="3" borderId="1" xfId="0" applyFont="1" applyFill="1" applyBorder="1" applyAlignment="1">
      <alignment horizontal="left" vertical="center" wrapText="1"/>
    </xf>
    <xf numFmtId="0" fontId="13" fillId="0" borderId="2" xfId="0" applyFont="1" applyBorder="1"/>
    <xf numFmtId="0" fontId="31" fillId="0" borderId="0" xfId="0" applyFont="1" applyBorder="1" applyAlignment="1">
      <alignment vertical="center"/>
    </xf>
    <xf numFmtId="0" fontId="31" fillId="0" borderId="0" xfId="0" applyFont="1" applyBorder="1" applyAlignment="1">
      <alignment vertical="center" wrapText="1"/>
    </xf>
    <xf numFmtId="0" fontId="0" fillId="0" borderId="0" xfId="0" applyAlignment="1">
      <alignment vertical="center" wrapText="1"/>
    </xf>
    <xf numFmtId="17" fontId="6" fillId="0" borderId="1" xfId="0" applyNumberFormat="1" applyFont="1" applyBorder="1" applyAlignment="1">
      <alignment vertical="center" wrapText="1"/>
    </xf>
    <xf numFmtId="0" fontId="13" fillId="0" borderId="0" xfId="0" applyFont="1" applyBorder="1"/>
    <xf numFmtId="0" fontId="13" fillId="0" borderId="0" xfId="0" applyFont="1"/>
    <xf numFmtId="0" fontId="29" fillId="0" borderId="13" xfId="0" applyFont="1" applyBorder="1" applyAlignment="1">
      <alignment wrapText="1"/>
    </xf>
    <xf numFmtId="17" fontId="6" fillId="0" borderId="14" xfId="0" applyNumberFormat="1" applyFont="1" applyBorder="1" applyAlignment="1">
      <alignment vertical="center" wrapText="1"/>
    </xf>
    <xf numFmtId="0" fontId="6" fillId="0" borderId="15" xfId="0" applyFont="1" applyBorder="1" applyAlignment="1">
      <alignment vertical="center" wrapText="1"/>
    </xf>
    <xf numFmtId="0" fontId="0" fillId="0" borderId="16" xfId="0" applyFont="1" applyBorder="1" applyAlignment="1">
      <alignment vertical="center" wrapText="1"/>
    </xf>
    <xf numFmtId="3" fontId="0" fillId="2" borderId="1" xfId="0" applyNumberFormat="1" applyFont="1" applyFill="1" applyBorder="1" applyAlignment="1">
      <alignment vertical="center" wrapText="1"/>
    </xf>
    <xf numFmtId="3" fontId="12" fillId="3" borderId="17" xfId="1" applyNumberFormat="1" applyFont="1" applyFill="1" applyBorder="1" applyAlignment="1">
      <alignment horizontal="right" vertical="top"/>
    </xf>
    <xf numFmtId="0" fontId="0" fillId="0" borderId="18" xfId="0" applyFont="1" applyBorder="1" applyAlignment="1">
      <alignment vertical="center" wrapText="1"/>
    </xf>
    <xf numFmtId="3" fontId="0" fillId="2" borderId="36" xfId="0" applyNumberFormat="1" applyFont="1" applyFill="1" applyBorder="1" applyAlignment="1">
      <alignment vertical="center" wrapText="1"/>
    </xf>
    <xf numFmtId="3" fontId="12" fillId="2" borderId="12" xfId="1" applyNumberFormat="1" applyFont="1" applyFill="1" applyBorder="1" applyAlignment="1">
      <alignment horizontal="right" vertical="top"/>
    </xf>
    <xf numFmtId="3" fontId="12" fillId="3" borderId="25" xfId="1" applyNumberFormat="1" applyFont="1" applyFill="1" applyBorder="1" applyAlignment="1">
      <alignment horizontal="right" vertical="top"/>
    </xf>
    <xf numFmtId="0" fontId="0" fillId="3" borderId="3" xfId="0" applyFont="1" applyFill="1" applyBorder="1" applyAlignment="1">
      <alignment horizontal="left" vertical="center" wrapText="1"/>
    </xf>
    <xf numFmtId="3" fontId="12" fillId="3" borderId="9" xfId="0" applyNumberFormat="1" applyFont="1" applyFill="1" applyBorder="1" applyAlignment="1">
      <alignment horizontal="right" vertical="top"/>
    </xf>
    <xf numFmtId="3" fontId="12" fillId="3" borderId="1" xfId="0" applyNumberFormat="1" applyFont="1" applyFill="1" applyBorder="1" applyAlignment="1">
      <alignment horizontal="right" vertical="center" wrapText="1"/>
    </xf>
    <xf numFmtId="0" fontId="32" fillId="0" borderId="0" xfId="0" applyFont="1" applyAlignment="1">
      <alignment horizontal="left" vertical="top"/>
    </xf>
    <xf numFmtId="0" fontId="6" fillId="0" borderId="0" xfId="0" applyFont="1" applyBorder="1"/>
    <xf numFmtId="49" fontId="0" fillId="2" borderId="1" xfId="1" applyNumberFormat="1" applyFont="1" applyFill="1" applyBorder="1" applyAlignment="1">
      <alignment horizontal="left" vertical="top"/>
    </xf>
    <xf numFmtId="0" fontId="0" fillId="0" borderId="0" xfId="0" applyBorder="1"/>
    <xf numFmtId="0" fontId="4" fillId="0" borderId="0" xfId="0" applyFont="1" applyBorder="1" applyAlignment="1">
      <alignment horizontal="left" vertical="center" wrapText="1"/>
    </xf>
    <xf numFmtId="0" fontId="26" fillId="0" borderId="0" xfId="0" applyFont="1" applyAlignment="1">
      <alignment horizontal="left"/>
    </xf>
    <xf numFmtId="0" fontId="13" fillId="0" borderId="0" xfId="0" applyFont="1" applyAlignment="1">
      <alignment horizontal="left" vertical="top" wrapText="1"/>
    </xf>
    <xf numFmtId="0" fontId="28" fillId="0" borderId="1" xfId="0" applyFont="1" applyBorder="1" applyAlignment="1">
      <alignment horizontal="left"/>
    </xf>
    <xf numFmtId="3" fontId="12" fillId="3" borderId="1" xfId="0" applyNumberFormat="1" applyFont="1" applyFill="1" applyBorder="1" applyAlignment="1">
      <alignment vertical="top" wrapText="1"/>
    </xf>
    <xf numFmtId="3" fontId="12" fillId="3" borderId="10" xfId="0" applyNumberFormat="1" applyFont="1" applyFill="1" applyBorder="1" applyAlignment="1">
      <alignment horizontal="right" vertical="center" wrapText="1"/>
    </xf>
    <xf numFmtId="0" fontId="12" fillId="0" borderId="41" xfId="0" applyFont="1" applyBorder="1" applyAlignment="1">
      <alignment horizontal="left" vertical="top"/>
    </xf>
    <xf numFmtId="0" fontId="12" fillId="0" borderId="42" xfId="0" applyFont="1" applyBorder="1" applyAlignment="1">
      <alignment horizontal="left" vertical="top"/>
    </xf>
    <xf numFmtId="0" fontId="12" fillId="0" borderId="37" xfId="0" applyFont="1" applyBorder="1" applyAlignment="1">
      <alignment horizontal="left" vertical="top"/>
    </xf>
    <xf numFmtId="0" fontId="12" fillId="0" borderId="43" xfId="0" applyFont="1" applyBorder="1" applyAlignment="1">
      <alignment horizontal="left" vertical="top"/>
    </xf>
    <xf numFmtId="0" fontId="0" fillId="0" borderId="43" xfId="0" applyBorder="1"/>
    <xf numFmtId="0" fontId="13" fillId="0" borderId="37" xfId="0" applyFont="1" applyBorder="1" applyAlignment="1">
      <alignment horizontal="left" vertical="top"/>
    </xf>
    <xf numFmtId="0" fontId="17" fillId="0" borderId="37" xfId="0" applyFont="1" applyBorder="1" applyAlignment="1">
      <alignment horizontal="left" vertical="top"/>
    </xf>
    <xf numFmtId="0" fontId="0" fillId="0" borderId="0" xfId="0" applyBorder="1" applyAlignment="1">
      <alignment horizontal="left" vertical="top"/>
    </xf>
    <xf numFmtId="49" fontId="0" fillId="0" borderId="37" xfId="0" applyNumberFormat="1" applyFont="1" applyFill="1" applyBorder="1" applyAlignment="1">
      <alignment horizontal="left" vertical="top"/>
    </xf>
    <xf numFmtId="0" fontId="26" fillId="4" borderId="1" xfId="0" applyFont="1" applyFill="1" applyBorder="1" applyAlignment="1">
      <alignment horizontal="left"/>
    </xf>
    <xf numFmtId="0" fontId="28" fillId="0" borderId="24" xfId="0" applyFont="1" applyBorder="1" applyAlignment="1">
      <alignment horizontal="left"/>
    </xf>
    <xf numFmtId="0" fontId="0" fillId="0" borderId="24" xfId="0" applyBorder="1"/>
    <xf numFmtId="0" fontId="0" fillId="0" borderId="44" xfId="0" applyBorder="1"/>
    <xf numFmtId="0" fontId="4" fillId="0" borderId="0" xfId="0" applyFont="1" applyBorder="1" applyAlignment="1">
      <alignment horizontal="left" vertical="top" wrapText="1"/>
    </xf>
    <xf numFmtId="0" fontId="4" fillId="0" borderId="0" xfId="0" applyFont="1" applyAlignment="1">
      <alignment horizontal="left" vertical="top"/>
    </xf>
    <xf numFmtId="0" fontId="36" fillId="0" borderId="0" xfId="0" applyFont="1" applyAlignment="1">
      <alignment horizontal="left" vertical="top" wrapText="1"/>
    </xf>
    <xf numFmtId="0" fontId="13" fillId="0" borderId="0" xfId="0" applyFont="1" applyBorder="1" applyAlignment="1">
      <alignment horizontal="left" vertical="top"/>
    </xf>
    <xf numFmtId="0" fontId="17" fillId="0" borderId="14" xfId="0" applyFont="1" applyFill="1" applyBorder="1" applyAlignment="1">
      <alignment horizontal="center" vertical="top" wrapText="1"/>
    </xf>
    <xf numFmtId="49" fontId="20" fillId="0" borderId="0" xfId="1" applyNumberFormat="1" applyFont="1" applyFill="1" applyBorder="1" applyAlignment="1">
      <alignment horizontal="left" vertical="top"/>
    </xf>
    <xf numFmtId="0" fontId="13" fillId="0" borderId="2" xfId="0" applyFont="1" applyBorder="1"/>
    <xf numFmtId="0" fontId="0" fillId="0" borderId="0" xfId="0" applyFont="1" applyFill="1" applyBorder="1" applyAlignment="1">
      <alignment vertical="center" wrapText="1"/>
    </xf>
    <xf numFmtId="0" fontId="6" fillId="0" borderId="0" xfId="0" applyFont="1" applyBorder="1" applyAlignment="1">
      <alignment horizontal="left" vertical="top"/>
    </xf>
    <xf numFmtId="0" fontId="40" fillId="0" borderId="0" xfId="0" applyFont="1" applyAlignment="1">
      <alignment vertical="center"/>
    </xf>
    <xf numFmtId="0" fontId="41" fillId="0" borderId="0" xfId="0" applyFont="1"/>
    <xf numFmtId="0" fontId="40" fillId="0" borderId="24" xfId="0" applyFont="1" applyBorder="1" applyAlignment="1">
      <alignment horizontal="left" vertical="center"/>
    </xf>
    <xf numFmtId="3" fontId="12" fillId="2" borderId="12" xfId="0" applyNumberFormat="1" applyFont="1" applyFill="1" applyBorder="1" applyAlignment="1">
      <alignment horizontal="right" vertical="top"/>
    </xf>
    <xf numFmtId="3" fontId="12" fillId="0" borderId="0" xfId="0" applyNumberFormat="1" applyFont="1" applyFill="1" applyBorder="1" applyAlignment="1">
      <alignment horizontal="right" vertical="top"/>
    </xf>
    <xf numFmtId="0" fontId="6" fillId="0" borderId="2" xfId="0" applyFont="1" applyBorder="1"/>
    <xf numFmtId="0" fontId="6" fillId="0" borderId="0" xfId="0" applyFont="1" applyFill="1" applyBorder="1"/>
    <xf numFmtId="0" fontId="6" fillId="0" borderId="0" xfId="0" applyFont="1" applyAlignment="1">
      <alignment horizontal="left" vertical="top"/>
    </xf>
    <xf numFmtId="0" fontId="0" fillId="0" borderId="3" xfId="0" applyBorder="1" applyAlignment="1">
      <alignment horizontal="center" vertical="center"/>
    </xf>
    <xf numFmtId="0" fontId="41" fillId="0" borderId="2" xfId="0" applyFont="1" applyBorder="1"/>
    <xf numFmtId="0" fontId="0" fillId="0" borderId="0" xfId="0" applyAlignment="1">
      <alignment horizontal="left" vertical="center"/>
    </xf>
    <xf numFmtId="14" fontId="0" fillId="0" borderId="0" xfId="0" applyNumberFormat="1" applyAlignment="1">
      <alignment horizontal="left" vertical="center"/>
    </xf>
    <xf numFmtId="0" fontId="5" fillId="0" borderId="0" xfId="0" applyFont="1" applyAlignment="1">
      <alignment horizontal="left" vertical="center"/>
    </xf>
    <xf numFmtId="0" fontId="0" fillId="0" borderId="0" xfId="0" applyNumberFormat="1" applyAlignment="1">
      <alignment horizontal="left" vertical="center"/>
    </xf>
    <xf numFmtId="0" fontId="17" fillId="0" borderId="0" xfId="0" applyFont="1"/>
    <xf numFmtId="49" fontId="0" fillId="0" borderId="0" xfId="0" applyNumberFormat="1"/>
    <xf numFmtId="49" fontId="1" fillId="0" borderId="0" xfId="0" applyNumberFormat="1" applyFont="1"/>
    <xf numFmtId="0" fontId="12"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43" fillId="0" borderId="24" xfId="0" applyFont="1" applyBorder="1" applyAlignment="1">
      <alignment horizontal="left" vertical="center"/>
    </xf>
    <xf numFmtId="17" fontId="6" fillId="0" borderId="1" xfId="0" applyNumberFormat="1" applyFont="1" applyBorder="1" applyAlignment="1">
      <alignment horizontal="right" vertical="center" wrapText="1"/>
    </xf>
    <xf numFmtId="0" fontId="17" fillId="0" borderId="40" xfId="0" applyFont="1" applyBorder="1" applyAlignment="1">
      <alignment vertical="top"/>
    </xf>
    <xf numFmtId="0" fontId="17" fillId="0" borderId="41" xfId="0" applyFont="1" applyBorder="1" applyAlignment="1">
      <alignment vertical="top"/>
    </xf>
    <xf numFmtId="0" fontId="30" fillId="6" borderId="33" xfId="0" applyFont="1" applyFill="1" applyBorder="1" applyAlignment="1">
      <alignment vertical="center"/>
    </xf>
    <xf numFmtId="0" fontId="9" fillId="6" borderId="2" xfId="0" applyFont="1" applyFill="1" applyBorder="1" applyAlignment="1">
      <alignment vertical="center"/>
    </xf>
    <xf numFmtId="0" fontId="9" fillId="6" borderId="34" xfId="0" applyFont="1" applyFill="1" applyBorder="1" applyAlignment="1">
      <alignment vertical="center"/>
    </xf>
    <xf numFmtId="49" fontId="3" fillId="2" borderId="5" xfId="1" applyNumberFormat="1" applyFill="1" applyBorder="1" applyAlignment="1">
      <alignment horizontal="left" vertical="top"/>
    </xf>
    <xf numFmtId="49" fontId="3" fillId="2" borderId="6" xfId="1" applyNumberFormat="1" applyFill="1" applyBorder="1" applyAlignment="1">
      <alignment horizontal="left" vertical="top"/>
    </xf>
    <xf numFmtId="49" fontId="3" fillId="2" borderId="7" xfId="1" applyNumberFormat="1" applyFill="1" applyBorder="1" applyAlignment="1">
      <alignment horizontal="left" vertical="top"/>
    </xf>
    <xf numFmtId="0" fontId="1" fillId="0" borderId="29" xfId="0" applyFont="1" applyBorder="1" applyAlignment="1">
      <alignment horizontal="left" vertical="center"/>
    </xf>
    <xf numFmtId="0" fontId="1" fillId="0" borderId="16" xfId="0" applyFont="1" applyBorder="1" applyAlignment="1">
      <alignment horizontal="left" vertical="center"/>
    </xf>
    <xf numFmtId="0" fontId="0" fillId="0" borderId="26" xfId="0" applyFont="1" applyBorder="1" applyAlignment="1">
      <alignment horizontal="left"/>
    </xf>
    <xf numFmtId="0" fontId="0" fillId="0" borderId="27" xfId="0" applyFont="1" applyBorder="1" applyAlignment="1">
      <alignment horizontal="left"/>
    </xf>
    <xf numFmtId="0" fontId="0" fillId="0" borderId="38" xfId="0" applyFont="1" applyBorder="1" applyAlignment="1">
      <alignment horizontal="left"/>
    </xf>
    <xf numFmtId="3" fontId="0" fillId="2" borderId="3" xfId="0" applyNumberFormat="1" applyFill="1" applyBorder="1" applyAlignment="1">
      <alignment horizontal="right"/>
    </xf>
    <xf numFmtId="3" fontId="0" fillId="2" borderId="30" xfId="0" applyNumberFormat="1" applyFill="1" applyBorder="1" applyAlignment="1">
      <alignment horizontal="right"/>
    </xf>
    <xf numFmtId="3" fontId="0" fillId="2" borderId="34" xfId="0" applyNumberFormat="1" applyFill="1" applyBorder="1" applyAlignment="1">
      <alignment horizontal="right"/>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14" fillId="0" borderId="21" xfId="0" applyFont="1" applyBorder="1" applyAlignment="1">
      <alignment horizontal="left" vertical="top" wrapText="1"/>
    </xf>
    <xf numFmtId="0" fontId="0" fillId="0" borderId="24" xfId="0" applyBorder="1" applyAlignment="1">
      <alignment wrapText="1"/>
    </xf>
    <xf numFmtId="0" fontId="0" fillId="0" borderId="44" xfId="0" applyBorder="1" applyAlignment="1">
      <alignment wrapText="1"/>
    </xf>
    <xf numFmtId="0" fontId="17" fillId="0" borderId="26" xfId="0" applyFont="1" applyFill="1" applyBorder="1" applyAlignment="1">
      <alignment horizontal="center" vertical="top" wrapText="1"/>
    </xf>
    <xf numFmtId="0" fontId="17" fillId="0" borderId="28" xfId="0" applyFont="1" applyFill="1" applyBorder="1" applyAlignment="1">
      <alignment horizontal="center" vertical="top" wrapText="1"/>
    </xf>
    <xf numFmtId="49" fontId="20" fillId="2" borderId="1" xfId="1" applyNumberFormat="1" applyFont="1" applyFill="1" applyBorder="1" applyAlignment="1">
      <alignment horizontal="left" vertical="top"/>
    </xf>
    <xf numFmtId="0" fontId="29" fillId="0" borderId="1" xfId="0" applyFont="1" applyBorder="1" applyAlignment="1">
      <alignment wrapText="1"/>
    </xf>
    <xf numFmtId="0" fontId="0" fillId="0" borderId="1" xfId="0" applyFont="1" applyBorder="1" applyAlignment="1">
      <alignment horizontal="left" vertical="center" wrapText="1"/>
    </xf>
    <xf numFmtId="0" fontId="13" fillId="0" borderId="2" xfId="0" applyFont="1" applyBorder="1"/>
    <xf numFmtId="0" fontId="26" fillId="0" borderId="0" xfId="0" applyFont="1" applyAlignment="1">
      <alignment horizontal="left"/>
    </xf>
    <xf numFmtId="0" fontId="17" fillId="0" borderId="40" xfId="0" applyFont="1" applyBorder="1" applyAlignment="1">
      <alignment horizontal="left" vertical="top"/>
    </xf>
    <xf numFmtId="0" fontId="0" fillId="0" borderId="41" xfId="0" applyBorder="1" applyAlignment="1">
      <alignment horizontal="left" vertical="top"/>
    </xf>
    <xf numFmtId="0" fontId="14" fillId="0" borderId="37" xfId="0" applyFont="1" applyBorder="1" applyAlignment="1">
      <alignment horizontal="left" vertical="top" wrapText="1"/>
    </xf>
    <xf numFmtId="0" fontId="0" fillId="0" borderId="0" xfId="0" applyBorder="1" applyAlignment="1">
      <alignment wrapText="1"/>
    </xf>
    <xf numFmtId="0" fontId="0" fillId="0" borderId="43" xfId="0" applyBorder="1" applyAlignment="1">
      <alignment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xf>
    <xf numFmtId="0" fontId="34" fillId="5" borderId="5" xfId="0" applyFont="1" applyFill="1" applyBorder="1" applyAlignment="1">
      <alignment vertical="center" wrapText="1"/>
    </xf>
    <xf numFmtId="0" fontId="0" fillId="5" borderId="6" xfId="0" applyFont="1" applyFill="1" applyBorder="1" applyAlignment="1">
      <alignment vertical="center" wrapText="1"/>
    </xf>
    <xf numFmtId="0" fontId="0" fillId="5" borderId="7" xfId="0" applyFont="1" applyFill="1" applyBorder="1" applyAlignment="1">
      <alignment vertical="center" wrapText="1"/>
    </xf>
    <xf numFmtId="0" fontId="44" fillId="0" borderId="0" xfId="0" applyFont="1" applyBorder="1" applyAlignment="1">
      <alignment horizontal="left" vertical="top" wrapText="1"/>
    </xf>
    <xf numFmtId="0" fontId="26" fillId="0" borderId="0" xfId="0" applyFont="1" applyAlignment="1">
      <alignment wrapText="1"/>
    </xf>
    <xf numFmtId="0" fontId="0" fillId="0" borderId="5" xfId="0" applyFont="1" applyBorder="1" applyAlignment="1">
      <alignment horizontal="left"/>
    </xf>
    <xf numFmtId="0" fontId="0" fillId="0" borderId="6" xfId="0" applyFont="1" applyBorder="1" applyAlignment="1">
      <alignment horizontal="left"/>
    </xf>
    <xf numFmtId="0" fontId="0" fillId="0" borderId="7" xfId="0" applyFont="1" applyBorder="1" applyAlignment="1">
      <alignment horizontal="left"/>
    </xf>
    <xf numFmtId="3" fontId="0" fillId="2" borderId="11" xfId="0" applyNumberFormat="1" applyFill="1" applyBorder="1" applyAlignment="1">
      <alignment horizontal="right"/>
    </xf>
    <xf numFmtId="3" fontId="0" fillId="2" borderId="19" xfId="0" applyNumberFormat="1" applyFill="1" applyBorder="1" applyAlignment="1">
      <alignment horizontal="right"/>
    </xf>
    <xf numFmtId="17" fontId="1" fillId="0" borderId="46" xfId="0" applyNumberFormat="1" applyFont="1" applyBorder="1" applyAlignment="1">
      <alignment horizontal="center" vertical="center"/>
    </xf>
    <xf numFmtId="0" fontId="1" fillId="0" borderId="48" xfId="0" applyFont="1" applyBorder="1" applyAlignment="1">
      <alignment horizontal="center" vertical="center"/>
    </xf>
    <xf numFmtId="0" fontId="1" fillId="0" borderId="51" xfId="0" applyFont="1" applyBorder="1" applyAlignment="1">
      <alignment horizontal="center" vertical="center"/>
    </xf>
    <xf numFmtId="0" fontId="1" fillId="0" borderId="49" xfId="0" applyFont="1" applyBorder="1" applyAlignment="1">
      <alignment horizontal="center" vertical="center"/>
    </xf>
    <xf numFmtId="3" fontId="0" fillId="2" borderId="12" xfId="0" applyNumberFormat="1" applyFill="1" applyBorder="1" applyAlignment="1">
      <alignment horizontal="right"/>
    </xf>
    <xf numFmtId="3" fontId="0" fillId="2" borderId="25" xfId="0" applyNumberFormat="1" applyFill="1" applyBorder="1" applyAlignment="1">
      <alignment horizontal="right"/>
    </xf>
    <xf numFmtId="3" fontId="0" fillId="2" borderId="36" xfId="0" applyNumberFormat="1" applyFill="1" applyBorder="1" applyAlignment="1">
      <alignment horizontal="right"/>
    </xf>
    <xf numFmtId="49" fontId="12" fillId="2" borderId="5" xfId="0" applyNumberFormat="1" applyFont="1" applyFill="1" applyBorder="1" applyAlignment="1">
      <alignment horizontal="left" vertical="top"/>
    </xf>
    <xf numFmtId="49" fontId="12" fillId="2" borderId="6" xfId="0" applyNumberFormat="1" applyFont="1" applyFill="1" applyBorder="1" applyAlignment="1">
      <alignment horizontal="left" vertical="top"/>
    </xf>
    <xf numFmtId="49" fontId="12" fillId="2" borderId="7" xfId="0" applyNumberFormat="1" applyFont="1" applyFill="1" applyBorder="1" applyAlignment="1">
      <alignment horizontal="left" vertical="top"/>
    </xf>
    <xf numFmtId="0" fontId="5" fillId="0" borderId="2" xfId="0" applyFont="1" applyBorder="1" applyAlignment="1">
      <alignment horizontal="left"/>
    </xf>
    <xf numFmtId="0" fontId="0" fillId="0" borderId="2" xfId="0" applyFont="1" applyBorder="1" applyAlignment="1">
      <alignment horizontal="left" vertical="top" wrapText="1"/>
    </xf>
    <xf numFmtId="49" fontId="12" fillId="2" borderId="1" xfId="0" applyNumberFormat="1" applyFont="1" applyFill="1" applyBorder="1" applyAlignment="1">
      <alignment horizontal="left" vertical="top"/>
    </xf>
    <xf numFmtId="0" fontId="22" fillId="6" borderId="31" xfId="0" applyFont="1" applyFill="1" applyBorder="1" applyAlignment="1">
      <alignment vertical="center"/>
    </xf>
    <xf numFmtId="0" fontId="23" fillId="6" borderId="8" xfId="0" applyFont="1" applyFill="1" applyBorder="1" applyAlignment="1">
      <alignment vertical="center"/>
    </xf>
    <xf numFmtId="0" fontId="23" fillId="6" borderId="32" xfId="0" applyFont="1" applyFill="1" applyBorder="1" applyAlignment="1">
      <alignment vertical="center"/>
    </xf>
    <xf numFmtId="0" fontId="13" fillId="0" borderId="0" xfId="0" applyFont="1" applyAlignment="1">
      <alignment horizontal="left" vertical="top" wrapText="1"/>
    </xf>
    <xf numFmtId="49" fontId="20" fillId="2" borderId="1" xfId="0" applyNumberFormat="1" applyFont="1" applyFill="1" applyBorder="1" applyAlignment="1">
      <alignment horizontal="left" vertical="top"/>
    </xf>
    <xf numFmtId="0" fontId="4" fillId="0" borderId="2" xfId="0" applyFont="1" applyBorder="1" applyAlignment="1">
      <alignment horizontal="left" vertical="top" wrapText="1"/>
    </xf>
    <xf numFmtId="0" fontId="24" fillId="0" borderId="0" xfId="0" applyFont="1" applyBorder="1" applyAlignment="1">
      <alignment vertical="center" wrapText="1"/>
    </xf>
    <xf numFmtId="0" fontId="26" fillId="0" borderId="0" xfId="0" applyFont="1" applyAlignment="1">
      <alignment vertical="center" wrapText="1"/>
    </xf>
    <xf numFmtId="49" fontId="20" fillId="2" borderId="5" xfId="0" applyNumberFormat="1" applyFont="1" applyFill="1" applyBorder="1" applyAlignment="1">
      <alignment horizontal="left" vertical="center"/>
    </xf>
    <xf numFmtId="49" fontId="20" fillId="2" borderId="7" xfId="0" applyNumberFormat="1" applyFont="1" applyFill="1" applyBorder="1" applyAlignment="1">
      <alignment horizontal="left" vertical="center"/>
    </xf>
    <xf numFmtId="3" fontId="12" fillId="2" borderId="5" xfId="0" applyNumberFormat="1" applyFont="1" applyFill="1" applyBorder="1" applyAlignment="1">
      <alignment horizontal="right" vertical="top"/>
    </xf>
    <xf numFmtId="3" fontId="12" fillId="2" borderId="20" xfId="0" applyNumberFormat="1" applyFont="1" applyFill="1" applyBorder="1" applyAlignment="1">
      <alignment horizontal="right" vertical="top"/>
    </xf>
    <xf numFmtId="0" fontId="28" fillId="0" borderId="46" xfId="0" applyFont="1" applyBorder="1" applyAlignment="1">
      <alignment horizontal="left"/>
    </xf>
    <xf numFmtId="0" fontId="0" fillId="0" borderId="47" xfId="0" applyBorder="1" applyAlignment="1">
      <alignment horizontal="left"/>
    </xf>
    <xf numFmtId="0" fontId="0" fillId="0" borderId="48" xfId="0" applyBorder="1" applyAlignment="1">
      <alignment horizontal="left"/>
    </xf>
    <xf numFmtId="0" fontId="27" fillId="0" borderId="37"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4" xfId="0" applyFont="1" applyBorder="1" applyAlignment="1">
      <alignment horizontal="center" vertical="center" wrapText="1"/>
    </xf>
    <xf numFmtId="17" fontId="1" fillId="0" borderId="50" xfId="0" applyNumberFormat="1" applyFont="1" applyBorder="1" applyAlignment="1">
      <alignment horizontal="center" vertical="center"/>
    </xf>
    <xf numFmtId="0" fontId="1" fillId="0" borderId="28" xfId="0" applyFont="1" applyBorder="1" applyAlignment="1">
      <alignment horizontal="center" vertical="center"/>
    </xf>
    <xf numFmtId="17" fontId="1" fillId="0" borderId="2" xfId="0" applyNumberFormat="1" applyFont="1" applyBorder="1" applyAlignment="1">
      <alignment horizontal="center" vertical="center"/>
    </xf>
    <xf numFmtId="0" fontId="1" fillId="0" borderId="45" xfId="0" applyFont="1" applyBorder="1" applyAlignment="1">
      <alignment horizontal="center" vertical="center"/>
    </xf>
    <xf numFmtId="17" fontId="1" fillId="0" borderId="33" xfId="0" applyNumberFormat="1" applyFont="1" applyBorder="1" applyAlignment="1">
      <alignment horizontal="center" vertical="center"/>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49" fontId="0" fillId="2" borderId="5" xfId="1" applyNumberFormat="1" applyFont="1" applyFill="1" applyBorder="1" applyAlignment="1">
      <alignment horizontal="center" vertical="top"/>
    </xf>
    <xf numFmtId="49" fontId="0" fillId="2" borderId="7" xfId="1" applyNumberFormat="1" applyFont="1" applyFill="1" applyBorder="1" applyAlignment="1">
      <alignment horizontal="center" vertical="top"/>
    </xf>
    <xf numFmtId="0" fontId="36" fillId="0" borderId="0" xfId="0" applyFont="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14" fontId="0" fillId="2" borderId="3" xfId="0" applyNumberFormat="1" applyFont="1" applyFill="1" applyBorder="1" applyAlignment="1">
      <alignment horizontal="center" vertical="center"/>
    </xf>
    <xf numFmtId="14" fontId="0" fillId="2" borderId="9" xfId="0" applyNumberFormat="1" applyFont="1" applyFill="1" applyBorder="1" applyAlignment="1">
      <alignment horizontal="center" vertical="center"/>
    </xf>
    <xf numFmtId="49" fontId="0" fillId="2" borderId="5" xfId="0" applyNumberFormat="1" applyFont="1" applyFill="1" applyBorder="1" applyAlignment="1">
      <alignment vertical="center"/>
    </xf>
    <xf numFmtId="49" fontId="0" fillId="2" borderId="6" xfId="0" applyNumberFormat="1" applyFont="1" applyFill="1" applyBorder="1" applyAlignment="1">
      <alignment vertical="center"/>
    </xf>
    <xf numFmtId="49" fontId="0" fillId="2" borderId="7" xfId="0" applyNumberFormat="1" applyFont="1" applyFill="1" applyBorder="1" applyAlignment="1">
      <alignment vertical="center"/>
    </xf>
    <xf numFmtId="0" fontId="13" fillId="0" borderId="2" xfId="0" applyFont="1" applyBorder="1" applyAlignment="1"/>
    <xf numFmtId="0" fontId="0" fillId="0" borderId="2" xfId="0" applyBorder="1" applyAlignment="1"/>
    <xf numFmtId="3" fontId="12" fillId="2" borderId="5" xfId="0" applyNumberFormat="1" applyFont="1" applyFill="1" applyBorder="1" applyAlignment="1">
      <alignment horizontal="right" vertical="top" wrapText="1"/>
    </xf>
    <xf numFmtId="3" fontId="12" fillId="2" borderId="20" xfId="0" applyNumberFormat="1" applyFont="1" applyFill="1" applyBorder="1" applyAlignment="1">
      <alignment horizontal="right" vertical="top" wrapText="1"/>
    </xf>
    <xf numFmtId="0" fontId="0" fillId="0" borderId="5" xfId="0" applyFont="1" applyBorder="1" applyAlignment="1">
      <alignment horizontal="left" wrapText="1"/>
    </xf>
    <xf numFmtId="3" fontId="0" fillId="2" borderId="1" xfId="0" applyNumberFormat="1" applyFill="1" applyBorder="1" applyAlignment="1">
      <alignment horizontal="right"/>
    </xf>
    <xf numFmtId="3" fontId="0" fillId="2" borderId="17" xfId="0" applyNumberFormat="1" applyFill="1" applyBorder="1" applyAlignment="1">
      <alignment horizontal="right"/>
    </xf>
    <xf numFmtId="3" fontId="0" fillId="2" borderId="7" xfId="0" applyNumberFormat="1" applyFill="1" applyBorder="1" applyAlignment="1">
      <alignment horizontal="right"/>
    </xf>
    <xf numFmtId="0" fontId="1" fillId="0" borderId="18" xfId="0" applyFont="1" applyBorder="1" applyAlignment="1">
      <alignment horizontal="left" vertical="center"/>
    </xf>
    <xf numFmtId="0" fontId="0" fillId="0" borderId="26" xfId="0" applyBorder="1" applyAlignment="1">
      <alignment horizontal="left"/>
    </xf>
    <xf numFmtId="0" fontId="0" fillId="0" borderId="27" xfId="0" applyBorder="1" applyAlignment="1">
      <alignment horizontal="left"/>
    </xf>
    <xf numFmtId="0" fontId="0" fillId="0" borderId="38"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1" xfId="0" applyBorder="1" applyAlignment="1">
      <alignment horizontal="left"/>
    </xf>
    <xf numFmtId="0" fontId="0" fillId="0" borderId="39" xfId="0" applyBorder="1" applyAlignment="1">
      <alignment horizontal="left"/>
    </xf>
    <xf numFmtId="0" fontId="0" fillId="0" borderId="36" xfId="0" applyBorder="1" applyAlignment="1">
      <alignment horizontal="left"/>
    </xf>
    <xf numFmtId="0" fontId="1" fillId="0" borderId="13" xfId="0" applyFont="1" applyBorder="1" applyAlignment="1">
      <alignment horizontal="left" vertical="center"/>
    </xf>
    <xf numFmtId="0" fontId="26" fillId="0" borderId="26" xfId="0" applyFont="1" applyBorder="1" applyAlignment="1">
      <alignment horizontal="left"/>
    </xf>
    <xf numFmtId="0" fontId="26" fillId="0" borderId="27" xfId="0" applyFont="1" applyBorder="1" applyAlignment="1">
      <alignment horizontal="left"/>
    </xf>
    <xf numFmtId="0" fontId="26" fillId="0" borderId="38" xfId="0" applyFont="1" applyBorder="1" applyAlignment="1">
      <alignment horizontal="left"/>
    </xf>
    <xf numFmtId="3" fontId="0" fillId="2" borderId="14" xfId="0" applyNumberFormat="1" applyFill="1" applyBorder="1" applyAlignment="1">
      <alignment horizontal="right"/>
    </xf>
    <xf numFmtId="3" fontId="0" fillId="2" borderId="15" xfId="0" applyNumberFormat="1" applyFill="1" applyBorder="1" applyAlignment="1">
      <alignment horizontal="right"/>
    </xf>
    <xf numFmtId="3" fontId="0" fillId="2" borderId="38" xfId="0" applyNumberFormat="1" applyFill="1" applyBorder="1" applyAlignment="1">
      <alignment horizontal="right"/>
    </xf>
    <xf numFmtId="3" fontId="0" fillId="2" borderId="5" xfId="0" applyNumberFormat="1" applyFill="1" applyBorder="1" applyAlignment="1">
      <alignment horizontal="right"/>
    </xf>
    <xf numFmtId="3" fontId="0" fillId="2" borderId="20" xfId="0" applyNumberFormat="1" applyFill="1" applyBorder="1" applyAlignment="1">
      <alignment horizontal="right"/>
    </xf>
    <xf numFmtId="3" fontId="0" fillId="2" borderId="6" xfId="0" applyNumberFormat="1" applyFill="1" applyBorder="1" applyAlignment="1">
      <alignment horizontal="right"/>
    </xf>
    <xf numFmtId="3" fontId="0" fillId="2" borderId="26" xfId="0" applyNumberFormat="1" applyFill="1" applyBorder="1" applyAlignment="1">
      <alignment horizontal="right"/>
    </xf>
    <xf numFmtId="3" fontId="0" fillId="2" borderId="28" xfId="0" applyNumberFormat="1" applyFill="1" applyBorder="1" applyAlignment="1">
      <alignment horizontal="right"/>
    </xf>
    <xf numFmtId="3" fontId="0" fillId="2" borderId="27" xfId="0" applyNumberFormat="1" applyFill="1" applyBorder="1" applyAlignment="1">
      <alignment horizontal="right"/>
    </xf>
    <xf numFmtId="0" fontId="1" fillId="0" borderId="22" xfId="0" applyFont="1" applyBorder="1" applyAlignment="1">
      <alignment horizontal="left" vertical="center"/>
    </xf>
    <xf numFmtId="3" fontId="0" fillId="2" borderId="4" xfId="0" applyNumberFormat="1" applyFill="1" applyBorder="1" applyAlignment="1">
      <alignment horizontal="right"/>
    </xf>
    <xf numFmtId="3" fontId="0" fillId="2" borderId="23" xfId="0" applyNumberFormat="1" applyFill="1" applyBorder="1" applyAlignment="1">
      <alignment horizontal="right"/>
    </xf>
    <xf numFmtId="3" fontId="0" fillId="2" borderId="32" xfId="0" applyNumberFormat="1" applyFill="1" applyBorder="1" applyAlignment="1">
      <alignment horizontal="right"/>
    </xf>
    <xf numFmtId="0" fontId="40" fillId="0" borderId="24" xfId="0" applyFont="1" applyBorder="1" applyAlignment="1">
      <alignment horizontal="left" vertical="center"/>
    </xf>
    <xf numFmtId="3" fontId="12" fillId="2" borderId="11" xfId="0" applyNumberFormat="1" applyFont="1" applyFill="1" applyBorder="1" applyAlignment="1">
      <alignment horizontal="right" vertical="top" wrapText="1"/>
    </xf>
    <xf numFmtId="3" fontId="12" fillId="2" borderId="19" xfId="0" applyNumberFormat="1" applyFont="1" applyFill="1" applyBorder="1" applyAlignment="1">
      <alignment horizontal="right" vertical="top" wrapText="1"/>
    </xf>
    <xf numFmtId="0" fontId="17" fillId="0" borderId="14" xfId="0" applyFont="1" applyFill="1" applyBorder="1" applyAlignment="1">
      <alignment horizontal="center" vertical="top" wrapText="1"/>
    </xf>
    <xf numFmtId="0" fontId="17" fillId="0" borderId="15" xfId="0" applyFont="1" applyFill="1" applyBorder="1" applyAlignment="1">
      <alignment horizontal="center" vertical="top" wrapText="1"/>
    </xf>
    <xf numFmtId="3" fontId="12" fillId="2" borderId="11" xfId="0" applyNumberFormat="1" applyFont="1" applyFill="1" applyBorder="1" applyAlignment="1">
      <alignment horizontal="right" vertical="top"/>
    </xf>
    <xf numFmtId="3" fontId="12" fillId="2" borderId="19" xfId="0" applyNumberFormat="1" applyFont="1" applyFill="1" applyBorder="1" applyAlignment="1">
      <alignment horizontal="right" vertical="top"/>
    </xf>
    <xf numFmtId="0" fontId="1" fillId="3" borderId="35" xfId="0" applyFont="1" applyFill="1" applyBorder="1" applyAlignment="1">
      <alignment horizontal="left" vertical="center"/>
    </xf>
    <xf numFmtId="0" fontId="1" fillId="3" borderId="39" xfId="0" applyFont="1" applyFill="1" applyBorder="1" applyAlignment="1">
      <alignment horizontal="left" vertical="center"/>
    </xf>
    <xf numFmtId="0" fontId="1" fillId="3" borderId="36" xfId="0" applyFont="1" applyFill="1" applyBorder="1" applyAlignment="1">
      <alignment horizontal="left" vertical="center"/>
    </xf>
    <xf numFmtId="3" fontId="0" fillId="3" borderId="11" xfId="0" applyNumberFormat="1" applyFill="1" applyBorder="1" applyAlignment="1">
      <alignment horizontal="center"/>
    </xf>
    <xf numFmtId="3" fontId="0" fillId="3" borderId="19" xfId="0" applyNumberFormat="1" applyFill="1" applyBorder="1" applyAlignment="1">
      <alignment horizontal="center"/>
    </xf>
    <xf numFmtId="3" fontId="0" fillId="3" borderId="39" xfId="0" applyNumberFormat="1" applyFill="1" applyBorder="1" applyAlignment="1">
      <alignment horizontal="center"/>
    </xf>
  </cellXfs>
  <cellStyles count="2">
    <cellStyle name="Link" xfId="1" builtinId="8"/>
    <cellStyle name="Standard" xfId="0" builtinId="0"/>
  </cellStyles>
  <dxfs count="12">
    <dxf>
      <font>
        <color rgb="FFFF0000"/>
      </font>
    </dxf>
    <dxf>
      <font>
        <color rgb="FFFF0000"/>
      </font>
    </dxf>
    <dxf>
      <font>
        <color rgb="FFFF0000"/>
      </font>
    </dxf>
    <dxf>
      <font>
        <color theme="0"/>
      </font>
    </dxf>
    <dxf>
      <font>
        <color theme="0"/>
      </font>
      <fill>
        <patternFill patternType="none">
          <bgColor auto="1"/>
        </patternFill>
      </fill>
      <border>
        <left/>
        <right/>
        <top/>
        <bottom/>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B5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47624</xdr:rowOff>
    </xdr:from>
    <xdr:to>
      <xdr:col>1</xdr:col>
      <xdr:colOff>1181100</xdr:colOff>
      <xdr:row>1</xdr:row>
      <xdr:rowOff>609599</xdr:rowOff>
    </xdr:to>
    <xdr:pic>
      <xdr:nvPicPr>
        <xdr:cNvPr id="2" name="Image 1">
          <a:extLst>
            <a:ext uri="{FF2B5EF4-FFF2-40B4-BE49-F238E27FC236}">
              <a16:creationId xmlns:a16="http://schemas.microsoft.com/office/drawing/2014/main" id="{3DD4B92C-BA1A-4B06-BF60-A10B23CFE883}"/>
            </a:ext>
          </a:extLst>
        </xdr:cNvPr>
        <xdr:cNvPicPr>
          <a:picLocks noChangeAspect="1"/>
        </xdr:cNvPicPr>
      </xdr:nvPicPr>
      <xdr:blipFill rotWithShape="1">
        <a:blip xmlns:r="http://schemas.openxmlformats.org/officeDocument/2006/relationships" r:embed="rId1"/>
        <a:srcRect l="8365" t="13229" r="6585" b="15815"/>
        <a:stretch/>
      </xdr:blipFill>
      <xdr:spPr>
        <a:xfrm>
          <a:off x="266700" y="238124"/>
          <a:ext cx="1162050" cy="5619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173"/>
  <sheetViews>
    <sheetView tabSelected="1" topLeftCell="A133" zoomScale="80" zoomScaleNormal="80" workbookViewId="0">
      <selection activeCell="C167" sqref="C167:M167"/>
    </sheetView>
  </sheetViews>
  <sheetFormatPr baseColWidth="10" defaultRowHeight="15"/>
  <cols>
    <col min="1" max="1" width="3.7109375" customWidth="1"/>
    <col min="2" max="2" width="50.42578125" customWidth="1"/>
    <col min="3" max="3" width="26.28515625" customWidth="1"/>
    <col min="4" max="4" width="13.140625" customWidth="1"/>
    <col min="5" max="15" width="10.7109375" bestFit="1" customWidth="1"/>
  </cols>
  <sheetData>
    <row r="2" spans="1:16" ht="53.1" customHeight="1">
      <c r="A2" s="4"/>
      <c r="B2" s="4"/>
      <c r="C2" s="212" t="s">
        <v>35</v>
      </c>
      <c r="D2" s="212"/>
      <c r="E2" s="5"/>
      <c r="F2" s="212" t="s">
        <v>68</v>
      </c>
      <c r="G2" s="212"/>
    </row>
    <row r="3" spans="1:16" ht="25.35" customHeight="1">
      <c r="A3" s="64"/>
      <c r="B3" s="214" t="s">
        <v>126</v>
      </c>
      <c r="C3" s="215"/>
      <c r="D3" s="215"/>
      <c r="E3" s="215"/>
      <c r="F3" s="215"/>
      <c r="G3" s="215"/>
      <c r="H3" s="215"/>
      <c r="I3" s="215"/>
      <c r="J3" s="215"/>
      <c r="K3" s="215"/>
      <c r="L3" s="215"/>
      <c r="M3" s="216"/>
    </row>
    <row r="4" spans="1:16" ht="21.75" customHeight="1">
      <c r="A4" s="64"/>
      <c r="B4" s="157" t="s">
        <v>159</v>
      </c>
      <c r="C4" s="158"/>
      <c r="D4" s="158"/>
      <c r="E4" s="158"/>
      <c r="F4" s="158"/>
      <c r="G4" s="158"/>
      <c r="H4" s="158"/>
      <c r="I4" s="158"/>
      <c r="J4" s="158"/>
      <c r="K4" s="158"/>
      <c r="L4" s="158"/>
      <c r="M4" s="159"/>
    </row>
    <row r="5" spans="1:16" ht="9.75" customHeight="1">
      <c r="A5" s="64"/>
      <c r="B5" s="83"/>
      <c r="C5" s="66"/>
      <c r="D5" s="66"/>
      <c r="E5" s="66"/>
      <c r="F5" s="66"/>
      <c r="G5" s="66"/>
      <c r="H5" s="66"/>
      <c r="I5" s="66"/>
      <c r="J5" s="66"/>
      <c r="K5" s="66"/>
      <c r="L5" s="66"/>
      <c r="M5" s="66"/>
    </row>
    <row r="6" spans="1:16" ht="34.5" customHeight="1">
      <c r="A6" s="64"/>
      <c r="B6" s="191" t="s">
        <v>127</v>
      </c>
      <c r="C6" s="192"/>
      <c r="D6" s="192"/>
      <c r="E6" s="192"/>
      <c r="F6" s="192"/>
      <c r="G6" s="192"/>
      <c r="H6" s="192"/>
      <c r="I6" s="192"/>
      <c r="J6" s="192"/>
      <c r="K6" s="192"/>
      <c r="L6" s="192"/>
      <c r="M6" s="193"/>
    </row>
    <row r="7" spans="1:16" ht="15.75" customHeight="1">
      <c r="A7" s="64"/>
      <c r="B7" s="83"/>
      <c r="C7" s="66"/>
      <c r="D7" s="66"/>
      <c r="E7" s="66"/>
      <c r="F7" s="66"/>
      <c r="G7" s="66"/>
      <c r="H7" s="66"/>
      <c r="I7" s="66"/>
      <c r="J7" s="66"/>
      <c r="K7" s="66"/>
      <c r="L7" s="66"/>
      <c r="M7" s="66"/>
    </row>
    <row r="8" spans="1:16" ht="21.75" customHeight="1">
      <c r="A8" s="64"/>
      <c r="B8" s="69" t="s">
        <v>160</v>
      </c>
      <c r="C8" s="66"/>
      <c r="D8" s="66"/>
      <c r="E8" s="66"/>
      <c r="F8" s="66"/>
      <c r="G8" s="66"/>
      <c r="H8" s="66"/>
      <c r="I8" s="66"/>
      <c r="J8" s="66"/>
      <c r="K8" s="66"/>
      <c r="L8" s="66"/>
      <c r="M8" s="66"/>
    </row>
    <row r="9" spans="1:16" ht="14.25" customHeight="1">
      <c r="A9" s="64"/>
      <c r="C9" s="66"/>
      <c r="D9" s="66"/>
      <c r="E9" s="66"/>
      <c r="F9" s="66"/>
      <c r="G9" s="66"/>
      <c r="H9" s="66"/>
      <c r="I9" s="66"/>
      <c r="J9" s="66"/>
      <c r="K9" s="66"/>
      <c r="L9" s="66"/>
      <c r="M9" s="66"/>
    </row>
    <row r="10" spans="1:16" ht="33.75" customHeight="1">
      <c r="A10" s="64"/>
      <c r="B10" s="220" t="s">
        <v>312</v>
      </c>
      <c r="C10" s="221"/>
      <c r="D10" s="221"/>
      <c r="E10" s="221"/>
      <c r="F10" s="221"/>
      <c r="G10" s="221"/>
      <c r="H10" s="221"/>
      <c r="I10" s="221"/>
      <c r="J10" s="221"/>
      <c r="K10" s="221"/>
      <c r="L10" s="221"/>
      <c r="M10" s="221"/>
    </row>
    <row r="11" spans="1:16" ht="15.75" customHeight="1">
      <c r="A11" s="64"/>
      <c r="B11" s="84"/>
      <c r="C11" s="85"/>
      <c r="D11" s="85"/>
      <c r="E11" s="85"/>
      <c r="F11" s="85"/>
      <c r="G11" s="85"/>
      <c r="H11" s="85"/>
      <c r="I11" s="85"/>
      <c r="J11" s="85"/>
      <c r="K11" s="85"/>
      <c r="L11" s="85"/>
      <c r="M11" s="85"/>
    </row>
    <row r="12" spans="1:16" ht="15.6" customHeight="1">
      <c r="A12" s="64"/>
      <c r="B12" s="65"/>
      <c r="C12" s="66"/>
      <c r="D12" s="66"/>
      <c r="E12" s="66"/>
      <c r="F12" s="66"/>
      <c r="G12" s="66"/>
      <c r="H12" s="66"/>
      <c r="I12" s="66"/>
      <c r="J12" s="66"/>
      <c r="K12" s="66"/>
      <c r="L12" s="66"/>
      <c r="M12" s="66"/>
      <c r="O12" s="1"/>
      <c r="P12" s="1"/>
    </row>
    <row r="13" spans="1:16" ht="18.75" customHeight="1">
      <c r="A13" s="64"/>
      <c r="B13" s="75" t="s">
        <v>69</v>
      </c>
      <c r="C13" s="71"/>
      <c r="D13" s="66"/>
      <c r="E13" s="66"/>
      <c r="F13" s="66"/>
      <c r="G13" s="66"/>
      <c r="H13" s="66"/>
      <c r="I13" s="66"/>
      <c r="J13" s="66"/>
      <c r="K13" s="66"/>
      <c r="L13" s="66"/>
      <c r="M13" s="66"/>
    </row>
    <row r="14" spans="1:16" ht="15.6" customHeight="1">
      <c r="A14" s="64"/>
      <c r="B14" s="80"/>
      <c r="C14" s="74"/>
      <c r="D14" s="66"/>
      <c r="E14" s="66"/>
      <c r="F14" s="66"/>
      <c r="G14" s="66"/>
      <c r="H14" s="66"/>
      <c r="I14" s="66"/>
      <c r="J14" s="66"/>
      <c r="K14" s="66"/>
      <c r="L14" s="66"/>
      <c r="M14" s="66"/>
    </row>
    <row r="15" spans="1:16" ht="18.75" customHeight="1">
      <c r="A15" s="67"/>
      <c r="B15" s="75" t="s">
        <v>165</v>
      </c>
      <c r="C15" s="222"/>
      <c r="D15" s="223"/>
      <c r="F15" s="66"/>
      <c r="G15" s="66"/>
      <c r="H15" s="66"/>
      <c r="I15" s="66"/>
      <c r="J15" s="66"/>
      <c r="K15" s="66"/>
      <c r="L15" s="66"/>
      <c r="M15" s="66"/>
    </row>
    <row r="16" spans="1:16" s="7" customFormat="1" ht="15.6" customHeight="1">
      <c r="A16" s="67"/>
      <c r="B16" s="68"/>
      <c r="C16" s="68"/>
      <c r="D16" s="68"/>
      <c r="E16" s="68"/>
      <c r="F16" s="68"/>
      <c r="G16" s="68"/>
      <c r="H16" s="68"/>
      <c r="I16" s="68"/>
      <c r="J16" s="68"/>
      <c r="K16" s="68"/>
      <c r="L16" s="68"/>
      <c r="M16" s="68"/>
    </row>
    <row r="17" spans="1:20" s="7" customFormat="1" ht="37.5" customHeight="1">
      <c r="A17" s="67"/>
      <c r="B17" s="106" t="s">
        <v>155</v>
      </c>
      <c r="C17" s="151"/>
      <c r="D17" s="68"/>
      <c r="E17" s="79"/>
      <c r="F17" s="68"/>
      <c r="G17" s="68"/>
      <c r="H17" s="68"/>
      <c r="I17" s="68"/>
      <c r="J17" s="68"/>
      <c r="K17" s="68"/>
      <c r="L17" s="68"/>
      <c r="M17" s="68"/>
    </row>
    <row r="18" spans="1:20" s="7" customFormat="1" ht="15.6" customHeight="1">
      <c r="A18" s="67"/>
      <c r="B18" s="68"/>
      <c r="C18" s="68"/>
      <c r="D18" s="68"/>
      <c r="E18" s="68"/>
      <c r="F18" s="68"/>
      <c r="G18" s="68"/>
      <c r="H18" s="68"/>
      <c r="I18" s="68"/>
      <c r="J18" s="68"/>
      <c r="K18" s="68"/>
      <c r="L18" s="68"/>
      <c r="M18" s="68"/>
    </row>
    <row r="19" spans="1:20" s="11" customFormat="1" ht="15.4" customHeight="1">
      <c r="A19" s="8" t="s">
        <v>27</v>
      </c>
      <c r="B19" s="8" t="s">
        <v>25</v>
      </c>
      <c r="C19" s="9"/>
      <c r="D19" s="10"/>
      <c r="E19" s="9"/>
      <c r="G19" s="19" t="s">
        <v>29</v>
      </c>
      <c r="H19" s="8" t="s">
        <v>10</v>
      </c>
      <c r="I19" s="9"/>
      <c r="J19" s="9"/>
      <c r="K19" s="9"/>
      <c r="L19" s="9"/>
      <c r="M19" s="9"/>
    </row>
    <row r="20" spans="1:20" s="7" customFormat="1" ht="15.6" customHeight="1"/>
    <row r="21" spans="1:20" s="7" customFormat="1" ht="15.4" customHeight="1">
      <c r="B21" s="37" t="s">
        <v>307</v>
      </c>
      <c r="C21" s="213"/>
      <c r="D21" s="213"/>
      <c r="E21" s="213"/>
      <c r="H21" s="171" t="s">
        <v>37</v>
      </c>
      <c r="I21" s="172"/>
      <c r="J21" s="208"/>
      <c r="K21" s="209"/>
      <c r="L21" s="210"/>
    </row>
    <row r="22" spans="1:20" s="7" customFormat="1" ht="15.4" customHeight="1">
      <c r="B22" s="37" t="s">
        <v>72</v>
      </c>
      <c r="C22" s="213"/>
      <c r="D22" s="213"/>
      <c r="E22" s="213"/>
      <c r="H22" s="171" t="s">
        <v>13</v>
      </c>
      <c r="I22" s="172"/>
      <c r="J22" s="208"/>
      <c r="K22" s="209"/>
      <c r="L22" s="210"/>
    </row>
    <row r="23" spans="1:20" s="7" customFormat="1" ht="15.4" customHeight="1">
      <c r="B23" s="37" t="s">
        <v>24</v>
      </c>
      <c r="C23" s="39"/>
      <c r="H23" s="171" t="s">
        <v>7</v>
      </c>
      <c r="I23" s="172"/>
      <c r="J23" s="208"/>
      <c r="K23" s="209"/>
      <c r="L23" s="210"/>
    </row>
    <row r="24" spans="1:20" s="7" customFormat="1" ht="15.4" customHeight="1">
      <c r="B24" s="37" t="s">
        <v>1</v>
      </c>
      <c r="C24" s="40"/>
      <c r="H24" s="171" t="s">
        <v>0</v>
      </c>
      <c r="I24" s="172"/>
      <c r="J24" s="208"/>
      <c r="K24" s="209"/>
      <c r="L24" s="210"/>
    </row>
    <row r="25" spans="1:20" s="7" customFormat="1" ht="15.4" customHeight="1">
      <c r="B25" s="37" t="s">
        <v>2</v>
      </c>
      <c r="C25" s="40"/>
      <c r="H25" s="171" t="s">
        <v>8</v>
      </c>
      <c r="I25" s="172"/>
      <c r="J25" s="41"/>
      <c r="P25"/>
      <c r="Q25"/>
      <c r="R25"/>
      <c r="S25"/>
      <c r="T25"/>
    </row>
    <row r="26" spans="1:20" s="7" customFormat="1" ht="15.4" customHeight="1">
      <c r="H26" s="171" t="s">
        <v>1</v>
      </c>
      <c r="I26" s="172"/>
      <c r="J26" s="208"/>
      <c r="K26" s="209"/>
      <c r="L26" s="210"/>
      <c r="P26"/>
      <c r="Q26"/>
      <c r="R26"/>
      <c r="S26"/>
      <c r="T26"/>
    </row>
    <row r="27" spans="1:20" s="7" customFormat="1" ht="15.4" customHeight="1">
      <c r="H27" s="171" t="s">
        <v>12</v>
      </c>
      <c r="I27" s="172"/>
      <c r="J27" s="160"/>
      <c r="K27" s="161"/>
      <c r="L27" s="162"/>
      <c r="P27"/>
      <c r="Q27"/>
      <c r="R27"/>
      <c r="S27"/>
      <c r="T27"/>
    </row>
    <row r="28" spans="1:20" s="7" customFormat="1" ht="15.4" customHeight="1">
      <c r="A28" s="61" t="s">
        <v>28</v>
      </c>
      <c r="B28" s="217" t="s">
        <v>36</v>
      </c>
      <c r="C28" s="217"/>
      <c r="H28" s="171" t="s">
        <v>311</v>
      </c>
      <c r="I28" s="172"/>
      <c r="J28" s="218"/>
      <c r="K28" s="218"/>
      <c r="P28"/>
      <c r="Q28"/>
      <c r="R28"/>
      <c r="S28"/>
      <c r="T28"/>
    </row>
    <row r="29" spans="1:20" s="7" customFormat="1" ht="15.4" customHeight="1">
      <c r="B29" s="16" t="s">
        <v>0</v>
      </c>
      <c r="C29" s="213"/>
      <c r="D29" s="213"/>
      <c r="E29" s="213"/>
      <c r="H29" s="190" t="s">
        <v>111</v>
      </c>
      <c r="I29" s="190"/>
      <c r="J29" s="213"/>
      <c r="K29" s="213"/>
      <c r="P29"/>
      <c r="Q29"/>
      <c r="R29"/>
      <c r="S29"/>
      <c r="T29"/>
    </row>
    <row r="30" spans="1:20" s="7" customFormat="1" ht="15.4" customHeight="1">
      <c r="B30" s="16" t="s">
        <v>24</v>
      </c>
      <c r="C30" s="50"/>
      <c r="G30" s="12"/>
      <c r="H30" s="14"/>
      <c r="P30"/>
      <c r="Q30"/>
      <c r="R30"/>
      <c r="S30"/>
      <c r="T30"/>
    </row>
    <row r="31" spans="1:20" s="7" customFormat="1" ht="15.4" customHeight="1">
      <c r="B31" s="16" t="s">
        <v>1</v>
      </c>
      <c r="C31" s="58"/>
      <c r="P31"/>
      <c r="Q31"/>
      <c r="R31"/>
      <c r="S31"/>
      <c r="T31"/>
    </row>
    <row r="32" spans="1:20" s="7" customFormat="1" ht="15.4" customHeight="1">
      <c r="B32" s="16" t="s">
        <v>2</v>
      </c>
      <c r="C32" s="50"/>
      <c r="P32"/>
      <c r="Q32"/>
      <c r="R32"/>
      <c r="S32"/>
      <c r="T32"/>
    </row>
    <row r="33" spans="1:20" s="7" customFormat="1" ht="15.4" customHeight="1">
      <c r="P33"/>
      <c r="Q33"/>
      <c r="R33"/>
      <c r="S33"/>
      <c r="T33"/>
    </row>
    <row r="34" spans="1:20" s="7" customFormat="1" ht="15.4" customHeight="1">
      <c r="A34" s="8" t="s">
        <v>30</v>
      </c>
      <c r="B34" s="8" t="s">
        <v>26</v>
      </c>
      <c r="C34" s="15"/>
      <c r="D34" s="15"/>
      <c r="E34" s="15"/>
      <c r="F34" s="15"/>
      <c r="G34" s="15"/>
      <c r="H34" s="15"/>
      <c r="I34" s="15"/>
      <c r="J34" s="15"/>
      <c r="K34" s="15"/>
      <c r="L34" s="15"/>
      <c r="M34" s="15"/>
      <c r="P34"/>
      <c r="Q34"/>
      <c r="R34"/>
      <c r="S34"/>
      <c r="T34"/>
    </row>
    <row r="35" spans="1:20" s="7" customFormat="1" ht="15.4" customHeight="1">
      <c r="B35" s="13"/>
    </row>
    <row r="36" spans="1:20" s="7" customFormat="1" ht="15.4" customHeight="1">
      <c r="B36" s="16" t="s">
        <v>38</v>
      </c>
      <c r="C36" s="40"/>
      <c r="G36" s="188" t="s">
        <v>4</v>
      </c>
      <c r="H36" s="188"/>
      <c r="I36" s="188"/>
      <c r="J36" s="56"/>
    </row>
    <row r="37" spans="1:20" s="7" customFormat="1" ht="15.4" customHeight="1">
      <c r="B37" s="16" t="s">
        <v>3</v>
      </c>
      <c r="C37" s="40"/>
      <c r="D37" s="30"/>
      <c r="E37" s="30"/>
      <c r="G37" s="189"/>
      <c r="H37" s="189"/>
      <c r="I37" s="189"/>
    </row>
    <row r="38" spans="1:20" s="7" customFormat="1" ht="15.4" customHeight="1">
      <c r="B38" s="59" t="s">
        <v>39</v>
      </c>
      <c r="C38" s="42"/>
      <c r="D38" s="20"/>
      <c r="E38" s="20"/>
      <c r="G38" s="189"/>
      <c r="H38" s="189"/>
      <c r="I38" s="189"/>
    </row>
    <row r="39" spans="1:20" s="7" customFormat="1" ht="15.4" customHeight="1">
      <c r="B39" s="37" t="s">
        <v>164</v>
      </c>
      <c r="C39" s="43"/>
      <c r="G39" s="188" t="s">
        <v>5</v>
      </c>
      <c r="H39" s="188"/>
      <c r="I39" s="188"/>
      <c r="J39" s="56"/>
    </row>
    <row r="40" spans="1:20" s="7" customFormat="1" ht="15.4" customHeight="1">
      <c r="B40" s="16" t="s">
        <v>52</v>
      </c>
      <c r="C40" s="213"/>
      <c r="D40" s="213"/>
      <c r="G40" s="219"/>
      <c r="H40" s="219"/>
      <c r="I40" s="219"/>
    </row>
    <row r="41" spans="1:20" s="7" customFormat="1" ht="15.4" customHeight="1">
      <c r="B41" s="16" t="s">
        <v>32</v>
      </c>
      <c r="C41" s="57"/>
      <c r="D41" s="20"/>
      <c r="E41" s="20"/>
      <c r="G41" s="188" t="s">
        <v>6</v>
      </c>
      <c r="H41" s="188"/>
      <c r="I41" s="188"/>
      <c r="J41" s="56"/>
    </row>
    <row r="42" spans="1:20" s="7" customFormat="1" ht="15.4" customHeight="1">
      <c r="B42" s="17"/>
      <c r="C42" s="14"/>
      <c r="D42" s="32"/>
      <c r="E42" s="32"/>
      <c r="G42" s="219"/>
      <c r="H42" s="219"/>
      <c r="I42" s="219"/>
    </row>
    <row r="43" spans="1:20" s="7" customFormat="1" ht="15.4" customHeight="1">
      <c r="G43" s="188" t="s">
        <v>11</v>
      </c>
      <c r="H43" s="188"/>
      <c r="I43" s="188"/>
      <c r="J43" s="55"/>
    </row>
    <row r="44" spans="1:20" s="7" customFormat="1" ht="15.4" customHeight="1">
      <c r="B44" s="17"/>
      <c r="C44" s="26"/>
      <c r="G44" s="189"/>
      <c r="H44" s="189"/>
      <c r="I44" s="189"/>
      <c r="J44" s="25"/>
    </row>
    <row r="45" spans="1:20" s="7" customFormat="1" ht="15.4" customHeight="1">
      <c r="B45" s="17"/>
      <c r="C45" s="26"/>
      <c r="G45" s="24"/>
      <c r="H45" s="24"/>
      <c r="I45" s="24"/>
      <c r="J45" s="25"/>
    </row>
    <row r="46" spans="1:20" s="7" customFormat="1" ht="15.4" customHeight="1">
      <c r="A46" s="8" t="s">
        <v>31</v>
      </c>
      <c r="B46" s="8" t="s">
        <v>42</v>
      </c>
      <c r="C46" s="27"/>
      <c r="D46" s="27"/>
      <c r="E46" s="27"/>
      <c r="F46" s="27"/>
      <c r="G46" s="28"/>
      <c r="H46" s="28"/>
      <c r="I46" s="28"/>
      <c r="J46" s="27"/>
      <c r="K46" s="27"/>
      <c r="L46" s="27"/>
      <c r="M46" s="27"/>
    </row>
    <row r="47" spans="1:20" s="7" customFormat="1" ht="15.4" customHeight="1">
      <c r="G47" s="21"/>
      <c r="H47" s="21"/>
      <c r="I47" s="21"/>
    </row>
    <row r="48" spans="1:20" s="7" customFormat="1" ht="15.4" customHeight="1">
      <c r="B48" s="60" t="s">
        <v>66</v>
      </c>
      <c r="C48" s="178"/>
      <c r="D48" s="178"/>
      <c r="E48" s="178"/>
      <c r="G48" s="21"/>
      <c r="H48" s="21"/>
      <c r="I48" s="21"/>
    </row>
    <row r="49" spans="1:15" s="7" customFormat="1" ht="15.4" customHeight="1">
      <c r="B49" s="60" t="s">
        <v>43</v>
      </c>
      <c r="C49" s="178"/>
      <c r="D49" s="178"/>
      <c r="E49" s="178"/>
      <c r="G49" s="21"/>
      <c r="H49" s="21"/>
      <c r="I49" s="21"/>
    </row>
    <row r="50" spans="1:15" s="7" customFormat="1" ht="15.4" customHeight="1">
      <c r="B50" s="60" t="s">
        <v>44</v>
      </c>
      <c r="C50" s="178"/>
      <c r="D50" s="178"/>
      <c r="E50" s="178"/>
      <c r="G50" s="21"/>
      <c r="H50" s="21"/>
      <c r="I50" s="21"/>
    </row>
    <row r="51" spans="1:15" s="7" customFormat="1" ht="15.4" customHeight="1">
      <c r="B51" s="60" t="s">
        <v>45</v>
      </c>
      <c r="C51" s="178"/>
      <c r="D51" s="178"/>
      <c r="E51" s="178"/>
      <c r="G51" s="21"/>
      <c r="H51" s="21"/>
      <c r="I51" s="21"/>
    </row>
    <row r="52" spans="1:15" s="7" customFormat="1" ht="15.4" customHeight="1">
      <c r="A52" s="38"/>
      <c r="G52" s="21"/>
      <c r="H52" s="21"/>
      <c r="I52" s="21"/>
    </row>
    <row r="53" spans="1:15" s="7" customFormat="1" ht="15.4" customHeight="1">
      <c r="A53" s="62" t="s">
        <v>33</v>
      </c>
      <c r="B53" s="61" t="s">
        <v>67</v>
      </c>
      <c r="G53" s="21"/>
      <c r="H53" s="21"/>
      <c r="I53" s="21"/>
    </row>
    <row r="54" spans="1:15" s="7" customFormat="1" ht="15.4" customHeight="1">
      <c r="B54" s="60" t="s">
        <v>46</v>
      </c>
      <c r="C54" s="178"/>
      <c r="D54" s="178"/>
      <c r="E54" s="178"/>
      <c r="G54" s="21"/>
      <c r="H54" s="21"/>
      <c r="I54" s="21"/>
    </row>
    <row r="55" spans="1:15" s="7" customFormat="1" ht="15.4" customHeight="1">
      <c r="B55" s="126"/>
      <c r="C55" s="130"/>
      <c r="D55" s="130"/>
      <c r="E55" s="130"/>
      <c r="G55" s="125"/>
      <c r="H55" s="125"/>
      <c r="I55" s="125"/>
    </row>
    <row r="56" spans="1:15" ht="25.15" customHeight="1">
      <c r="A56" s="131" t="s">
        <v>34</v>
      </c>
      <c r="B56" s="143" t="s">
        <v>9</v>
      </c>
      <c r="C56" s="6"/>
      <c r="D56" s="6"/>
      <c r="E56" s="6"/>
      <c r="F56" s="6"/>
      <c r="G56" s="6"/>
      <c r="H56" s="6"/>
      <c r="I56" s="6"/>
      <c r="J56" s="6"/>
      <c r="K56" s="6"/>
      <c r="L56" s="6"/>
      <c r="M56" s="6"/>
    </row>
    <row r="57" spans="1:15" ht="27.75" customHeight="1">
      <c r="B57" s="244" t="s">
        <v>175</v>
      </c>
      <c r="C57" s="244"/>
      <c r="D57" s="244"/>
      <c r="E57" s="245"/>
      <c r="F57" s="246"/>
      <c r="G57" s="246"/>
      <c r="H57" s="142" t="s">
        <v>51</v>
      </c>
      <c r="I57" s="246"/>
      <c r="J57" s="246"/>
      <c r="L57" s="73" t="s">
        <v>74</v>
      </c>
      <c r="M57" s="72"/>
    </row>
    <row r="58" spans="1:15" ht="23.45" customHeight="1">
      <c r="B58" s="244" t="s">
        <v>161</v>
      </c>
      <c r="C58" s="244"/>
      <c r="D58" s="244"/>
      <c r="E58" s="245"/>
      <c r="F58" s="247"/>
      <c r="G58" s="247"/>
      <c r="L58" s="73" t="s">
        <v>73</v>
      </c>
    </row>
    <row r="59" spans="1:15" ht="27" customHeight="1">
      <c r="B59" s="244" t="s">
        <v>176</v>
      </c>
      <c r="C59" s="244"/>
      <c r="D59" s="244"/>
      <c r="E59" s="245"/>
      <c r="F59" s="248"/>
      <c r="G59" s="249"/>
      <c r="H59" s="249"/>
      <c r="I59" s="249"/>
      <c r="J59" s="249"/>
      <c r="K59" s="250"/>
      <c r="L59" s="73" t="s">
        <v>73</v>
      </c>
    </row>
    <row r="60" spans="1:15" ht="27" customHeight="1">
      <c r="B60" s="244" t="s">
        <v>162</v>
      </c>
      <c r="C60" s="244"/>
      <c r="D60" s="244"/>
      <c r="E60" s="244"/>
      <c r="F60" s="77"/>
      <c r="G60" s="76"/>
      <c r="H60" s="76"/>
      <c r="I60" s="76"/>
      <c r="J60" s="76"/>
      <c r="K60" s="76"/>
      <c r="L60" s="73"/>
    </row>
    <row r="61" spans="1:15" ht="30.75" customHeight="1">
      <c r="B61" s="244" t="s">
        <v>163</v>
      </c>
      <c r="C61" s="244"/>
      <c r="D61" s="244"/>
      <c r="E61" s="245"/>
      <c r="F61" s="77"/>
      <c r="G61" s="3"/>
    </row>
    <row r="62" spans="1:15" s="7" customFormat="1" ht="15.4" customHeight="1">
      <c r="G62" s="21"/>
      <c r="H62" s="21"/>
      <c r="I62" s="21"/>
    </row>
    <row r="63" spans="1:15" s="7" customFormat="1" ht="15.4" customHeight="1">
      <c r="A63" s="8" t="s">
        <v>50</v>
      </c>
      <c r="B63" s="8" t="s">
        <v>173</v>
      </c>
      <c r="C63" s="15"/>
      <c r="D63" s="15"/>
      <c r="E63" s="15"/>
      <c r="F63" s="15"/>
      <c r="G63" s="15"/>
      <c r="H63" s="15"/>
      <c r="I63" s="15"/>
      <c r="J63" s="15"/>
      <c r="K63" s="15"/>
      <c r="L63" s="15"/>
      <c r="M63" s="15"/>
    </row>
    <row r="64" spans="1:15" ht="17.25" customHeight="1">
      <c r="A64" s="87"/>
      <c r="B64" s="127"/>
      <c r="C64" s="127"/>
      <c r="D64" s="127"/>
      <c r="E64" s="127"/>
      <c r="F64" s="127"/>
      <c r="G64" s="127"/>
      <c r="H64" s="127"/>
      <c r="I64" s="127"/>
      <c r="J64" s="127"/>
      <c r="K64" s="127"/>
      <c r="L64" s="127"/>
      <c r="M64" s="127"/>
      <c r="N64" s="127"/>
      <c r="O64" s="127"/>
    </row>
    <row r="65" spans="1:15" s="7" customFormat="1" ht="15.4" customHeight="1">
      <c r="A65" s="133" t="s">
        <v>168</v>
      </c>
      <c r="B65" s="128" t="s">
        <v>177</v>
      </c>
    </row>
    <row r="66" spans="1:15" s="7" customFormat="1" ht="15.4" customHeight="1" thickBot="1">
      <c r="B66" s="286" t="s">
        <v>182</v>
      </c>
      <c r="C66" s="286"/>
      <c r="D66" s="286"/>
      <c r="E66" s="286"/>
      <c r="F66" s="134"/>
      <c r="G66" s="134"/>
      <c r="H66" s="134"/>
    </row>
    <row r="67" spans="1:15" s="7" customFormat="1" ht="15.4" customHeight="1">
      <c r="A67" s="32"/>
      <c r="B67" s="36" t="s">
        <v>47</v>
      </c>
      <c r="C67" s="129">
        <v>2018</v>
      </c>
      <c r="D67" s="176">
        <v>2019</v>
      </c>
      <c r="E67" s="177"/>
      <c r="F67" s="48"/>
      <c r="G67" s="48"/>
    </row>
    <row r="68" spans="1:15" s="7" customFormat="1" ht="15.4" customHeight="1">
      <c r="A68" s="32"/>
      <c r="B68" s="52" t="s">
        <v>119</v>
      </c>
      <c r="C68" s="44"/>
      <c r="D68" s="224"/>
      <c r="E68" s="225"/>
      <c r="F68" s="49"/>
      <c r="G68" s="49"/>
      <c r="L68" s="18"/>
    </row>
    <row r="69" spans="1:15" s="7" customFormat="1" ht="15.4" customHeight="1">
      <c r="A69" s="32"/>
      <c r="B69" s="52" t="s">
        <v>48</v>
      </c>
      <c r="C69" s="45"/>
      <c r="D69" s="253"/>
      <c r="E69" s="254"/>
      <c r="F69" s="49"/>
      <c r="G69" s="49"/>
    </row>
    <row r="70" spans="1:15" s="7" customFormat="1" ht="15.4" customHeight="1" thickBot="1">
      <c r="A70" s="32"/>
      <c r="B70" s="53" t="s">
        <v>112</v>
      </c>
      <c r="C70" s="46"/>
      <c r="D70" s="287"/>
      <c r="E70" s="288"/>
      <c r="F70" s="49"/>
      <c r="G70" s="49"/>
    </row>
    <row r="71" spans="1:15" s="7" customFormat="1" ht="15.4" customHeight="1">
      <c r="A71" s="32"/>
      <c r="B71" s="35"/>
      <c r="C71" s="34"/>
      <c r="D71" s="34"/>
      <c r="E71" s="34"/>
      <c r="F71" s="33"/>
    </row>
    <row r="72" spans="1:15" s="7" customFormat="1" ht="15.4" customHeight="1"/>
    <row r="73" spans="1:15" ht="15.75">
      <c r="A73" s="63" t="s">
        <v>178</v>
      </c>
      <c r="B73" s="135" t="s">
        <v>181</v>
      </c>
    </row>
    <row r="74" spans="1:15" ht="16.5" thickBot="1">
      <c r="A74" s="88"/>
      <c r="B74" s="153" t="s">
        <v>301</v>
      </c>
      <c r="C74" s="136"/>
      <c r="D74" s="136"/>
      <c r="E74" s="136"/>
    </row>
    <row r="75" spans="1:15" ht="15.75">
      <c r="B75" s="36" t="s">
        <v>179</v>
      </c>
      <c r="C75" s="129">
        <v>2018</v>
      </c>
      <c r="D75" s="289">
        <v>2019</v>
      </c>
      <c r="E75" s="290"/>
    </row>
    <row r="76" spans="1:15" ht="16.5" thickBot="1">
      <c r="B76" s="53" t="s">
        <v>119</v>
      </c>
      <c r="C76" s="137"/>
      <c r="D76" s="291"/>
      <c r="E76" s="292"/>
    </row>
    <row r="77" spans="1:15" ht="15.75">
      <c r="B77" s="132"/>
      <c r="C77" s="138"/>
      <c r="D77" s="138"/>
      <c r="E77" s="138"/>
    </row>
    <row r="78" spans="1:15" ht="25.15" customHeight="1">
      <c r="A78" s="139" t="s">
        <v>169</v>
      </c>
      <c r="B78" s="251" t="s">
        <v>234</v>
      </c>
      <c r="C78" s="251"/>
      <c r="D78" s="251"/>
      <c r="E78" s="251"/>
      <c r="F78" s="252"/>
      <c r="G78" s="252"/>
      <c r="H78" s="252"/>
      <c r="I78" s="252"/>
      <c r="J78" s="252"/>
      <c r="K78" s="252"/>
      <c r="L78" s="252"/>
      <c r="M78" s="6"/>
    </row>
    <row r="79" spans="1:15" ht="17.25" customHeight="1">
      <c r="A79" s="87"/>
      <c r="B79" s="243" t="s">
        <v>128</v>
      </c>
      <c r="C79" s="243"/>
      <c r="D79" s="243"/>
      <c r="E79" s="243"/>
      <c r="F79" s="243"/>
      <c r="G79" s="243"/>
      <c r="H79" s="243"/>
      <c r="I79" s="243"/>
      <c r="J79" s="243"/>
      <c r="K79" s="243"/>
      <c r="L79" s="243"/>
      <c r="M79" s="243"/>
      <c r="N79" s="243"/>
      <c r="O79" s="243"/>
    </row>
    <row r="80" spans="1:15" ht="17.25" customHeight="1">
      <c r="B80" s="243" t="s">
        <v>129</v>
      </c>
      <c r="C80" s="243"/>
      <c r="D80" s="243"/>
      <c r="E80" s="243"/>
      <c r="F80" s="243"/>
      <c r="G80" s="243"/>
      <c r="H80" s="243"/>
      <c r="I80" s="243"/>
      <c r="J80" s="243"/>
      <c r="K80" s="243"/>
      <c r="L80" s="243"/>
      <c r="M80" s="243"/>
      <c r="N80" s="243"/>
      <c r="O80" s="243"/>
    </row>
    <row r="81" spans="1:22" ht="19.5" customHeight="1">
      <c r="B81" s="29"/>
      <c r="C81" s="29"/>
      <c r="F81" s="211" t="s">
        <v>309</v>
      </c>
      <c r="G81" s="211"/>
      <c r="H81" s="211"/>
      <c r="I81" s="211"/>
      <c r="J81" s="211"/>
      <c r="K81" s="211"/>
      <c r="L81" s="211"/>
      <c r="M81" s="211"/>
      <c r="N81" s="211"/>
      <c r="O81" s="211"/>
    </row>
    <row r="82" spans="1:22" ht="25.15" customHeight="1">
      <c r="A82" s="63"/>
      <c r="B82" s="179"/>
      <c r="C82" s="179"/>
      <c r="D82" s="86">
        <v>43831</v>
      </c>
      <c r="E82" s="86">
        <v>43862</v>
      </c>
      <c r="F82" s="86">
        <v>43891</v>
      </c>
      <c r="G82" s="86">
        <v>43922</v>
      </c>
      <c r="H82" s="86">
        <v>43952</v>
      </c>
      <c r="I82" s="86">
        <v>43983</v>
      </c>
      <c r="J82" s="86">
        <v>44013</v>
      </c>
      <c r="K82" s="86">
        <v>44044</v>
      </c>
      <c r="L82" s="86">
        <v>44075</v>
      </c>
      <c r="M82" s="86">
        <v>44105</v>
      </c>
      <c r="N82" s="86">
        <v>44136</v>
      </c>
      <c r="O82" s="86">
        <v>44166</v>
      </c>
      <c r="P82" s="154" t="s">
        <v>118</v>
      </c>
      <c r="Q82" s="154" t="s">
        <v>121</v>
      </c>
      <c r="R82" s="154" t="s">
        <v>122</v>
      </c>
      <c r="S82" s="154" t="s">
        <v>123</v>
      </c>
      <c r="T82" s="154" t="s">
        <v>124</v>
      </c>
      <c r="U82" s="154" t="s">
        <v>125</v>
      </c>
      <c r="V82" s="78" t="s">
        <v>174</v>
      </c>
    </row>
    <row r="83" spans="1:22" ht="15.4" customHeight="1">
      <c r="B83" s="180" t="s">
        <v>120</v>
      </c>
      <c r="C83" s="180"/>
      <c r="D83" s="51"/>
      <c r="E83" s="51"/>
      <c r="F83" s="51"/>
      <c r="G83" s="51"/>
      <c r="H83" s="51"/>
      <c r="I83" s="51"/>
      <c r="J83" s="51"/>
      <c r="K83" s="51"/>
      <c r="L83" s="51"/>
      <c r="M83" s="51"/>
      <c r="N83" s="51"/>
      <c r="O83" s="51"/>
      <c r="P83" s="51"/>
      <c r="Q83" s="51"/>
      <c r="R83" s="51"/>
      <c r="S83" s="51"/>
      <c r="T83" s="51"/>
      <c r="U83" s="51"/>
      <c r="V83" s="110">
        <f>SUM(D83:U83)</f>
        <v>0</v>
      </c>
    </row>
    <row r="84" spans="1:22" ht="15.4" customHeight="1">
      <c r="A84" s="23"/>
      <c r="C84" s="23"/>
      <c r="D84" s="22"/>
      <c r="E84" s="22"/>
      <c r="F84" s="22"/>
      <c r="G84" s="22"/>
      <c r="H84" s="22"/>
      <c r="I84" s="22"/>
      <c r="J84" s="22"/>
      <c r="K84" s="22"/>
      <c r="L84" s="22"/>
      <c r="M84" s="22"/>
      <c r="N84" s="22"/>
      <c r="O84" s="22"/>
      <c r="P84" s="47"/>
    </row>
    <row r="85" spans="1:22" ht="15.4" customHeight="1">
      <c r="A85" s="23"/>
      <c r="B85" s="107"/>
      <c r="C85" s="107"/>
      <c r="D85" s="22"/>
      <c r="E85" s="22"/>
      <c r="F85" s="22"/>
      <c r="G85" s="22"/>
      <c r="H85" s="22"/>
      <c r="I85" s="22"/>
      <c r="J85" s="22"/>
      <c r="K85" s="22"/>
      <c r="L85" s="22"/>
      <c r="M85" s="22"/>
      <c r="N85" s="22"/>
      <c r="O85" s="22"/>
      <c r="P85" s="47"/>
    </row>
    <row r="86" spans="1:22" ht="15.4" customHeight="1">
      <c r="A86" s="140" t="s">
        <v>180</v>
      </c>
      <c r="B86" s="109" t="s">
        <v>158</v>
      </c>
      <c r="C86" s="152"/>
      <c r="D86" s="22"/>
      <c r="E86" s="22"/>
      <c r="F86" s="22"/>
      <c r="G86" s="22"/>
      <c r="H86" s="22"/>
      <c r="I86" s="22"/>
      <c r="J86" s="22"/>
      <c r="K86" s="22"/>
      <c r="L86" s="22"/>
      <c r="M86" s="22"/>
      <c r="N86" s="22"/>
      <c r="O86" s="22"/>
      <c r="P86" s="47"/>
    </row>
    <row r="87" spans="1:22" ht="15.75">
      <c r="B87" s="70"/>
    </row>
    <row r="88" spans="1:22" ht="15.75">
      <c r="B88" s="70"/>
    </row>
    <row r="89" spans="1:22" ht="15.4" customHeight="1">
      <c r="A89" s="82" t="s">
        <v>152</v>
      </c>
      <c r="B89" s="181" t="s">
        <v>153</v>
      </c>
      <c r="C89" s="181"/>
      <c r="D89" s="181"/>
      <c r="E89" s="181"/>
      <c r="F89" s="6"/>
      <c r="G89" s="6"/>
      <c r="H89" s="6"/>
      <c r="I89" s="6"/>
      <c r="J89" s="6"/>
      <c r="K89" s="6"/>
      <c r="L89" s="6"/>
      <c r="M89" s="6"/>
    </row>
    <row r="90" spans="1:22" ht="17.25" customHeight="1">
      <c r="A90" s="87"/>
      <c r="B90" s="243" t="s">
        <v>128</v>
      </c>
      <c r="C90" s="243"/>
      <c r="D90" s="243"/>
      <c r="E90" s="243"/>
      <c r="F90" s="243"/>
      <c r="G90" s="243"/>
      <c r="H90" s="243"/>
      <c r="I90" s="243"/>
      <c r="J90" s="243"/>
      <c r="K90" s="243"/>
      <c r="L90" s="243"/>
      <c r="M90" s="243"/>
      <c r="N90" s="243"/>
      <c r="O90" s="243"/>
    </row>
    <row r="91" spans="1:22" ht="17.25" customHeight="1">
      <c r="A91" s="23"/>
      <c r="B91" s="243" t="s">
        <v>170</v>
      </c>
      <c r="C91" s="243"/>
      <c r="D91" s="243"/>
      <c r="E91" s="243"/>
      <c r="F91" s="243"/>
      <c r="G91" s="243"/>
      <c r="H91" s="243"/>
      <c r="I91" s="243"/>
      <c r="J91" s="243"/>
      <c r="K91" s="243"/>
      <c r="L91" s="243"/>
      <c r="M91" s="243"/>
      <c r="N91" s="243"/>
      <c r="O91" s="243"/>
    </row>
    <row r="92" spans="1:22" ht="15.4" customHeight="1" thickBot="1"/>
    <row r="93" spans="1:22" ht="15.4" customHeight="1">
      <c r="A93" s="63" t="s">
        <v>171</v>
      </c>
      <c r="B93" s="89" t="s">
        <v>130</v>
      </c>
      <c r="C93" s="90">
        <v>44531</v>
      </c>
      <c r="D93" s="90">
        <v>44562</v>
      </c>
      <c r="E93" s="90">
        <v>44593</v>
      </c>
      <c r="F93" s="90">
        <v>44621</v>
      </c>
      <c r="G93" s="91" t="s">
        <v>49</v>
      </c>
    </row>
    <row r="94" spans="1:22" ht="15.4" customHeight="1">
      <c r="A94" s="23"/>
      <c r="B94" s="92" t="s">
        <v>131</v>
      </c>
      <c r="C94" s="93"/>
      <c r="D94" s="51"/>
      <c r="E94" s="51"/>
      <c r="F94" s="51"/>
      <c r="G94" s="94">
        <f t="shared" ref="G94:G97" si="0">SUM(C94:F94)</f>
        <v>0</v>
      </c>
    </row>
    <row r="95" spans="1:22" ht="15" customHeight="1">
      <c r="B95" s="92" t="s">
        <v>113</v>
      </c>
      <c r="C95" s="93"/>
      <c r="D95" s="51"/>
      <c r="E95" s="51"/>
      <c r="F95" s="51"/>
      <c r="G95" s="94">
        <f t="shared" si="0"/>
        <v>0</v>
      </c>
    </row>
    <row r="96" spans="1:22" ht="15.4" customHeight="1" thickBot="1">
      <c r="B96" s="95" t="s">
        <v>132</v>
      </c>
      <c r="C96" s="96"/>
      <c r="D96" s="97"/>
      <c r="E96" s="97"/>
      <c r="F96" s="97"/>
      <c r="G96" s="98">
        <f t="shared" si="0"/>
        <v>0</v>
      </c>
    </row>
    <row r="97" spans="1:16" ht="15.4" customHeight="1">
      <c r="B97" s="99" t="s">
        <v>133</v>
      </c>
      <c r="C97" s="111">
        <f>SUM(C94:C96)</f>
        <v>0</v>
      </c>
      <c r="D97" s="111">
        <f t="shared" ref="D97:F97" si="1">SUM(D94:D96)</f>
        <v>0</v>
      </c>
      <c r="E97" s="111">
        <f t="shared" si="1"/>
        <v>0</v>
      </c>
      <c r="F97" s="111">
        <f t="shared" si="1"/>
        <v>0</v>
      </c>
      <c r="G97" s="100">
        <f t="shared" si="0"/>
        <v>0</v>
      </c>
    </row>
    <row r="98" spans="1:16" ht="15.4" customHeight="1">
      <c r="A98" s="23"/>
      <c r="B98" s="99" t="s">
        <v>134</v>
      </c>
      <c r="C98" s="101">
        <f>IF($C$107="Option 2: coûts réels",0,$C$114/12)</f>
        <v>0</v>
      </c>
      <c r="D98" s="101">
        <f>IF($C$107="Option 2: coûts réels",0,$C$114/12)</f>
        <v>0</v>
      </c>
      <c r="E98" s="101">
        <f>IF($C$107="Option 2: coûts réels",0,$C$114/12)</f>
        <v>0</v>
      </c>
      <c r="F98" s="101">
        <f>IF($C$107="Option 2: coûts réels",0,$C$114/12)</f>
        <v>0</v>
      </c>
      <c r="G98" s="101">
        <f>SUM(C98:F98)</f>
        <v>0</v>
      </c>
      <c r="K98" s="22"/>
      <c r="L98" s="22"/>
      <c r="M98" s="47"/>
    </row>
    <row r="99" spans="1:16" ht="15.4" customHeight="1">
      <c r="A99" s="23"/>
      <c r="B99" s="99" t="s">
        <v>135</v>
      </c>
      <c r="C99" s="101">
        <f>IF($C$107="Option 2: coûts réels",F168,0)</f>
        <v>0</v>
      </c>
      <c r="D99" s="101">
        <f>IF($C$107="Option 2: coûts réels",H168,0)</f>
        <v>0</v>
      </c>
      <c r="E99" s="101">
        <f>IF($C$107="Option 2: coûts réels",J168,0)</f>
        <v>0</v>
      </c>
      <c r="F99" s="101">
        <f>IF($C$107="Option 2: coûts réels",L168,0)</f>
        <v>0</v>
      </c>
      <c r="G99" s="101">
        <f>SUM(C99:F99)</f>
        <v>0</v>
      </c>
      <c r="K99" s="22"/>
      <c r="L99" s="22"/>
      <c r="M99" s="47"/>
    </row>
    <row r="100" spans="1:16" ht="15.4" customHeight="1">
      <c r="A100" s="23"/>
      <c r="B100" s="81" t="s">
        <v>136</v>
      </c>
      <c r="C100" s="101">
        <f>IF($C$107="Option 2: coûts réels",C97-C99,C97-C98)</f>
        <v>0</v>
      </c>
      <c r="D100" s="101">
        <f>IF($C$107="Option 2: coûts réels",D97-D99,D97-D98)</f>
        <v>0</v>
      </c>
      <c r="E100" s="101">
        <f>IF($C$107="Option 2: coûts réels",E97-E99,E97-E98)</f>
        <v>0</v>
      </c>
      <c r="F100" s="101">
        <f>IF($C$107="Option 2: coûts réels",F97-F99,F97-F98)</f>
        <v>0</v>
      </c>
      <c r="G100" s="101">
        <f>SUM(C100:F100)</f>
        <v>0</v>
      </c>
      <c r="K100" s="22"/>
      <c r="L100" s="22"/>
      <c r="M100" s="47"/>
    </row>
    <row r="101" spans="1:16" ht="7.5" customHeight="1">
      <c r="A101" s="23"/>
      <c r="B101" s="182"/>
      <c r="C101" s="182"/>
      <c r="D101" s="22"/>
      <c r="E101" s="22"/>
      <c r="F101" s="22"/>
      <c r="G101" s="22"/>
      <c r="H101" s="22"/>
      <c r="I101" s="22"/>
      <c r="J101" s="22"/>
      <c r="K101" s="22"/>
      <c r="L101" s="22"/>
      <c r="M101" s="22"/>
      <c r="N101" s="47"/>
    </row>
    <row r="102" spans="1:16" ht="15.4" customHeight="1">
      <c r="A102" s="23"/>
      <c r="B102" s="121" t="s">
        <v>70</v>
      </c>
      <c r="C102" s="7"/>
      <c r="D102" s="22"/>
      <c r="E102" s="22"/>
      <c r="F102" s="22"/>
      <c r="G102" s="22"/>
      <c r="H102" s="22"/>
      <c r="I102" s="22"/>
      <c r="J102" s="22"/>
      <c r="K102" s="22"/>
      <c r="L102" s="22"/>
      <c r="M102" s="22"/>
      <c r="N102" s="22"/>
      <c r="O102" s="22"/>
      <c r="P102" s="47"/>
    </row>
    <row r="103" spans="1:16" s="7" customFormat="1" ht="15" customHeight="1"/>
    <row r="104" spans="1:16" s="7" customFormat="1" ht="15" customHeight="1"/>
    <row r="105" spans="1:16" s="7" customFormat="1" ht="18.75" customHeight="1">
      <c r="A105" s="141" t="s">
        <v>172</v>
      </c>
      <c r="B105" s="102" t="s">
        <v>167</v>
      </c>
    </row>
    <row r="106" spans="1:16" s="7" customFormat="1" ht="15" customHeight="1">
      <c r="A106" s="61"/>
      <c r="B106" s="61"/>
    </row>
    <row r="107" spans="1:16" s="7" customFormat="1" ht="32.450000000000003" customHeight="1">
      <c r="A107" s="23"/>
      <c r="B107" s="108" t="s">
        <v>166</v>
      </c>
      <c r="C107" s="241"/>
      <c r="D107" s="242"/>
    </row>
    <row r="108" spans="1:16" s="7" customFormat="1" ht="15" customHeight="1" thickBot="1"/>
    <row r="109" spans="1:16" s="7" customFormat="1" ht="15" customHeight="1">
      <c r="B109" s="183" t="s">
        <v>154</v>
      </c>
      <c r="C109" s="184"/>
      <c r="D109" s="184"/>
      <c r="E109" s="184"/>
      <c r="F109" s="184"/>
      <c r="G109" s="184"/>
      <c r="H109" s="184"/>
      <c r="I109" s="184"/>
      <c r="J109" s="112"/>
      <c r="K109" s="112"/>
      <c r="L109" s="112"/>
      <c r="M109" s="113"/>
    </row>
    <row r="110" spans="1:16" s="7" customFormat="1" ht="15" customHeight="1">
      <c r="B110" s="114" t="s">
        <v>137</v>
      </c>
      <c r="C110" s="68"/>
      <c r="D110" s="68"/>
      <c r="E110" s="68"/>
      <c r="F110" s="68"/>
      <c r="G110" s="68"/>
      <c r="H110" s="68"/>
      <c r="I110" s="68"/>
      <c r="J110" s="68"/>
      <c r="K110" s="68"/>
      <c r="L110" s="68"/>
      <c r="M110" s="115"/>
    </row>
    <row r="111" spans="1:16" s="7" customFormat="1" ht="15" customHeight="1">
      <c r="B111" s="114" t="s">
        <v>138</v>
      </c>
      <c r="C111" s="68"/>
      <c r="D111" s="68"/>
      <c r="E111" s="68"/>
      <c r="F111" s="68"/>
      <c r="G111" s="68"/>
      <c r="H111" s="68"/>
      <c r="I111" s="68"/>
      <c r="J111" s="68"/>
      <c r="K111" s="68"/>
      <c r="L111" s="68"/>
      <c r="M111" s="115"/>
    </row>
    <row r="112" spans="1:16" s="7" customFormat="1" ht="13.5" customHeight="1">
      <c r="B112" s="114"/>
      <c r="C112" s="68"/>
      <c r="D112" s="68"/>
      <c r="E112" s="68"/>
      <c r="F112" s="68"/>
      <c r="G112" s="68"/>
      <c r="H112" s="68"/>
      <c r="I112" s="68"/>
      <c r="J112" s="68"/>
      <c r="K112" s="68"/>
      <c r="L112" s="68"/>
      <c r="M112" s="115"/>
    </row>
    <row r="113" spans="1:19" s="7" customFormat="1" ht="15" customHeight="1">
      <c r="B113" s="114"/>
      <c r="C113" s="68" t="s">
        <v>139</v>
      </c>
      <c r="D113" s="68"/>
      <c r="E113" s="68"/>
      <c r="F113" s="68"/>
      <c r="G113" s="68"/>
      <c r="H113" s="68"/>
      <c r="I113" s="68"/>
      <c r="J113" s="68"/>
      <c r="K113" s="68"/>
      <c r="L113" s="68"/>
      <c r="M113" s="115"/>
    </row>
    <row r="114" spans="1:19" ht="24" customHeight="1">
      <c r="A114" s="103"/>
      <c r="B114" s="117" t="s">
        <v>308</v>
      </c>
      <c r="C114" s="104"/>
      <c r="D114" s="105"/>
      <c r="E114" s="105"/>
      <c r="F114" s="105"/>
      <c r="G114" s="105"/>
      <c r="H114" s="105"/>
      <c r="I114" s="105"/>
      <c r="J114" s="105"/>
      <c r="K114" s="105"/>
      <c r="L114" s="105"/>
      <c r="M114" s="116"/>
    </row>
    <row r="115" spans="1:19" ht="36" customHeight="1">
      <c r="A115" s="103"/>
      <c r="B115" s="185" t="s">
        <v>140</v>
      </c>
      <c r="C115" s="186"/>
      <c r="D115" s="186"/>
      <c r="E115" s="186"/>
      <c r="F115" s="186"/>
      <c r="G115" s="186"/>
      <c r="H115" s="186"/>
      <c r="I115" s="186"/>
      <c r="J115" s="186"/>
      <c r="K115" s="186"/>
      <c r="L115" s="186"/>
      <c r="M115" s="187"/>
    </row>
    <row r="116" spans="1:19" ht="33.75" customHeight="1" thickBot="1">
      <c r="A116" s="103"/>
      <c r="B116" s="173" t="s">
        <v>141</v>
      </c>
      <c r="C116" s="174"/>
      <c r="D116" s="174"/>
      <c r="E116" s="174"/>
      <c r="F116" s="174"/>
      <c r="G116" s="174"/>
      <c r="H116" s="174"/>
      <c r="I116" s="174"/>
      <c r="J116" s="174"/>
      <c r="K116" s="174"/>
      <c r="L116" s="174"/>
      <c r="M116" s="175"/>
      <c r="N116" s="7"/>
      <c r="O116" s="7"/>
      <c r="P116" s="7"/>
      <c r="Q116" s="7"/>
      <c r="R116" s="7"/>
      <c r="S116" s="7"/>
    </row>
    <row r="117" spans="1:19" ht="15.75" thickBot="1">
      <c r="A117" s="63"/>
      <c r="B117" s="63"/>
    </row>
    <row r="118" spans="1:19" s="7" customFormat="1" ht="15" customHeight="1">
      <c r="B118" s="155" t="s">
        <v>314</v>
      </c>
      <c r="C118" s="156"/>
      <c r="D118" s="156"/>
      <c r="E118" s="156"/>
      <c r="F118" s="156"/>
      <c r="G118" s="156"/>
      <c r="H118" s="156"/>
      <c r="I118" s="156"/>
      <c r="J118" s="156"/>
      <c r="K118" s="156"/>
      <c r="L118" s="156"/>
      <c r="M118" s="113"/>
    </row>
    <row r="119" spans="1:19" s="7" customFormat="1" ht="15" customHeight="1">
      <c r="B119" s="118"/>
      <c r="C119" s="119"/>
      <c r="D119" s="119"/>
      <c r="E119" s="119"/>
      <c r="F119" s="119"/>
      <c r="G119" s="119"/>
      <c r="H119" s="119"/>
      <c r="I119" s="119"/>
      <c r="J119" s="68"/>
      <c r="K119" s="68"/>
      <c r="L119" s="68"/>
      <c r="M119" s="115"/>
    </row>
    <row r="120" spans="1:19" s="7" customFormat="1" ht="15" customHeight="1">
      <c r="B120" s="114" t="s">
        <v>142</v>
      </c>
      <c r="C120" s="68"/>
      <c r="D120" s="68"/>
      <c r="E120" s="68"/>
      <c r="F120" s="68"/>
      <c r="G120" s="68"/>
      <c r="H120" s="68"/>
      <c r="I120" s="68"/>
      <c r="J120" s="68"/>
      <c r="K120" s="68"/>
      <c r="L120" s="68"/>
      <c r="M120" s="115"/>
    </row>
    <row r="121" spans="1:19" ht="15.6" customHeight="1" thickBot="1">
      <c r="A121" s="23"/>
      <c r="B121" s="120"/>
      <c r="C121" s="31"/>
      <c r="D121" s="105"/>
      <c r="E121" s="105"/>
      <c r="F121" s="105"/>
      <c r="G121" s="105"/>
      <c r="H121" s="105"/>
      <c r="I121" s="105"/>
      <c r="J121" s="105"/>
      <c r="K121" s="105"/>
      <c r="L121" s="105"/>
      <c r="M121" s="116"/>
    </row>
    <row r="122" spans="1:19" ht="25.15" customHeight="1" thickBot="1">
      <c r="A122" s="63"/>
      <c r="B122" s="226" t="s">
        <v>143</v>
      </c>
      <c r="C122" s="227"/>
      <c r="D122" s="227"/>
      <c r="E122" s="228"/>
      <c r="F122" s="122"/>
      <c r="G122" s="122"/>
      <c r="H122" s="123"/>
      <c r="I122" s="123"/>
      <c r="J122" s="123"/>
      <c r="K122" s="123"/>
      <c r="L122" s="123"/>
      <c r="M122" s="124"/>
    </row>
    <row r="123" spans="1:19" ht="15.75" thickBot="1">
      <c r="A123" s="1"/>
      <c r="B123" s="229"/>
      <c r="C123" s="230"/>
      <c r="D123" s="230"/>
      <c r="E123" s="230"/>
      <c r="F123" s="201">
        <v>44531</v>
      </c>
      <c r="G123" s="202"/>
      <c r="H123" s="233">
        <v>44562</v>
      </c>
      <c r="I123" s="234"/>
      <c r="J123" s="235">
        <v>44593</v>
      </c>
      <c r="K123" s="236"/>
      <c r="L123" s="237">
        <v>44621</v>
      </c>
      <c r="M123" s="236"/>
    </row>
    <row r="124" spans="1:19" ht="15.75" thickBot="1">
      <c r="A124" s="1"/>
      <c r="B124" s="231"/>
      <c r="C124" s="232"/>
      <c r="D124" s="232"/>
      <c r="E124" s="232"/>
      <c r="F124" s="203" t="s">
        <v>85</v>
      </c>
      <c r="G124" s="204"/>
      <c r="H124" s="238" t="s">
        <v>85</v>
      </c>
      <c r="I124" s="239"/>
      <c r="J124" s="240" t="s">
        <v>85</v>
      </c>
      <c r="K124" s="239"/>
      <c r="L124" s="238" t="s">
        <v>85</v>
      </c>
      <c r="M124" s="239"/>
    </row>
    <row r="125" spans="1:19">
      <c r="A125" s="1"/>
      <c r="B125" s="163" t="s">
        <v>144</v>
      </c>
      <c r="C125" s="196" t="s">
        <v>157</v>
      </c>
      <c r="D125" s="197"/>
      <c r="E125" s="198"/>
      <c r="F125" s="168"/>
      <c r="G125" s="169"/>
      <c r="H125" s="168"/>
      <c r="I125" s="169"/>
      <c r="J125" s="170"/>
      <c r="K125" s="169"/>
      <c r="L125" s="168"/>
      <c r="M125" s="169"/>
    </row>
    <row r="126" spans="1:19">
      <c r="A126" s="1"/>
      <c r="B126" s="163"/>
      <c r="C126" s="196" t="s">
        <v>145</v>
      </c>
      <c r="D126" s="197"/>
      <c r="E126" s="198"/>
      <c r="F126" s="168"/>
      <c r="G126" s="169"/>
      <c r="H126" s="168"/>
      <c r="I126" s="169"/>
      <c r="J126" s="170"/>
      <c r="K126" s="169"/>
      <c r="L126" s="168"/>
      <c r="M126" s="169"/>
    </row>
    <row r="127" spans="1:19" ht="15.75" thickBot="1">
      <c r="A127" s="1"/>
      <c r="B127" s="164"/>
      <c r="C127" s="196" t="s">
        <v>40</v>
      </c>
      <c r="D127" s="197"/>
      <c r="E127" s="198"/>
      <c r="F127" s="199"/>
      <c r="G127" s="200"/>
      <c r="H127" s="205"/>
      <c r="I127" s="206"/>
      <c r="J127" s="207"/>
      <c r="K127" s="206"/>
      <c r="L127" s="205"/>
      <c r="M127" s="206"/>
    </row>
    <row r="128" spans="1:19">
      <c r="A128" s="1"/>
      <c r="B128" s="163" t="s">
        <v>146</v>
      </c>
      <c r="C128" s="165" t="s">
        <v>147</v>
      </c>
      <c r="D128" s="166"/>
      <c r="E128" s="167"/>
      <c r="F128" s="168"/>
      <c r="G128" s="169"/>
      <c r="H128" s="168"/>
      <c r="I128" s="169"/>
      <c r="J128" s="170"/>
      <c r="K128" s="169"/>
      <c r="L128" s="168"/>
      <c r="M128" s="169"/>
    </row>
    <row r="129" spans="1:13" ht="15" customHeight="1">
      <c r="A129" s="1"/>
      <c r="B129" s="164"/>
      <c r="C129" s="196" t="s">
        <v>148</v>
      </c>
      <c r="D129" s="197"/>
      <c r="E129" s="198"/>
      <c r="F129" s="168"/>
      <c r="G129" s="169"/>
      <c r="H129" s="168"/>
      <c r="I129" s="169"/>
      <c r="J129" s="170"/>
      <c r="K129" s="169"/>
      <c r="L129" s="168"/>
      <c r="M129" s="169"/>
    </row>
    <row r="130" spans="1:13" ht="46.5" customHeight="1">
      <c r="A130" s="1"/>
      <c r="B130" s="164"/>
      <c r="C130" s="255" t="s">
        <v>149</v>
      </c>
      <c r="D130" s="197"/>
      <c r="E130" s="198"/>
      <c r="F130" s="168"/>
      <c r="G130" s="169"/>
      <c r="H130" s="256"/>
      <c r="I130" s="257"/>
      <c r="J130" s="258"/>
      <c r="K130" s="257"/>
      <c r="L130" s="256"/>
      <c r="M130" s="257"/>
    </row>
    <row r="131" spans="1:13" ht="15.75" thickBot="1">
      <c r="A131" s="1"/>
      <c r="B131" s="164"/>
      <c r="C131" s="196" t="s">
        <v>150</v>
      </c>
      <c r="D131" s="197"/>
      <c r="E131" s="198"/>
      <c r="F131" s="205"/>
      <c r="G131" s="206"/>
      <c r="H131" s="205"/>
      <c r="I131" s="206"/>
      <c r="J131" s="207"/>
      <c r="K131" s="206"/>
      <c r="L131" s="205"/>
      <c r="M131" s="206"/>
    </row>
    <row r="132" spans="1:13">
      <c r="B132" s="163" t="s">
        <v>75</v>
      </c>
      <c r="C132" s="260" t="s">
        <v>86</v>
      </c>
      <c r="D132" s="261"/>
      <c r="E132" s="262"/>
      <c r="F132" s="168"/>
      <c r="G132" s="169"/>
      <c r="H132" s="168"/>
      <c r="I132" s="169"/>
      <c r="J132" s="170"/>
      <c r="K132" s="169"/>
      <c r="L132" s="168"/>
      <c r="M132" s="169"/>
    </row>
    <row r="133" spans="1:13">
      <c r="B133" s="164"/>
      <c r="C133" s="263" t="s">
        <v>87</v>
      </c>
      <c r="D133" s="264"/>
      <c r="E133" s="265"/>
      <c r="F133" s="256"/>
      <c r="G133" s="257"/>
      <c r="H133" s="256"/>
      <c r="I133" s="257"/>
      <c r="J133" s="258"/>
      <c r="K133" s="257"/>
      <c r="L133" s="256"/>
      <c r="M133" s="257"/>
    </row>
    <row r="134" spans="1:13">
      <c r="B134" s="164"/>
      <c r="C134" s="263" t="s">
        <v>88</v>
      </c>
      <c r="D134" s="264"/>
      <c r="E134" s="265"/>
      <c r="F134" s="256"/>
      <c r="G134" s="257"/>
      <c r="H134" s="256"/>
      <c r="I134" s="257"/>
      <c r="J134" s="258"/>
      <c r="K134" s="257"/>
      <c r="L134" s="256"/>
      <c r="M134" s="257"/>
    </row>
    <row r="135" spans="1:13" ht="15.75" thickBot="1">
      <c r="B135" s="259"/>
      <c r="C135" s="266" t="s">
        <v>40</v>
      </c>
      <c r="D135" s="267"/>
      <c r="E135" s="268"/>
      <c r="F135" s="205"/>
      <c r="G135" s="206"/>
      <c r="H135" s="205"/>
      <c r="I135" s="206"/>
      <c r="J135" s="207"/>
      <c r="K135" s="206"/>
      <c r="L135" s="205"/>
      <c r="M135" s="206"/>
    </row>
    <row r="136" spans="1:13">
      <c r="B136" s="269" t="s">
        <v>76</v>
      </c>
      <c r="C136" s="270" t="s">
        <v>315</v>
      </c>
      <c r="D136" s="271"/>
      <c r="E136" s="272"/>
      <c r="F136" s="273"/>
      <c r="G136" s="274"/>
      <c r="H136" s="273"/>
      <c r="I136" s="274"/>
      <c r="J136" s="275"/>
      <c r="K136" s="274"/>
      <c r="L136" s="273"/>
      <c r="M136" s="274"/>
    </row>
    <row r="137" spans="1:13">
      <c r="B137" s="164"/>
      <c r="C137" s="263" t="s">
        <v>89</v>
      </c>
      <c r="D137" s="264"/>
      <c r="E137" s="265"/>
      <c r="F137" s="256"/>
      <c r="G137" s="257"/>
      <c r="H137" s="256"/>
      <c r="I137" s="257"/>
      <c r="J137" s="258"/>
      <c r="K137" s="257"/>
      <c r="L137" s="256"/>
      <c r="M137" s="257"/>
    </row>
    <row r="138" spans="1:13">
      <c r="B138" s="164"/>
      <c r="C138" s="263" t="s">
        <v>77</v>
      </c>
      <c r="D138" s="264"/>
      <c r="E138" s="265"/>
      <c r="F138" s="256"/>
      <c r="G138" s="257"/>
      <c r="H138" s="256"/>
      <c r="I138" s="257"/>
      <c r="J138" s="258"/>
      <c r="K138" s="257"/>
      <c r="L138" s="256"/>
      <c r="M138" s="257"/>
    </row>
    <row r="139" spans="1:13">
      <c r="B139" s="164"/>
      <c r="C139" s="263" t="s">
        <v>90</v>
      </c>
      <c r="D139" s="264"/>
      <c r="E139" s="265"/>
      <c r="F139" s="256"/>
      <c r="G139" s="257"/>
      <c r="H139" s="256"/>
      <c r="I139" s="257"/>
      <c r="J139" s="258"/>
      <c r="K139" s="257"/>
      <c r="L139" s="256"/>
      <c r="M139" s="257"/>
    </row>
    <row r="140" spans="1:13">
      <c r="B140" s="164"/>
      <c r="C140" s="263" t="s">
        <v>91</v>
      </c>
      <c r="D140" s="264"/>
      <c r="E140" s="265"/>
      <c r="F140" s="256"/>
      <c r="G140" s="257"/>
      <c r="H140" s="256"/>
      <c r="I140" s="257"/>
      <c r="J140" s="258"/>
      <c r="K140" s="257"/>
      <c r="L140" s="256"/>
      <c r="M140" s="257"/>
    </row>
    <row r="141" spans="1:13">
      <c r="B141" s="164"/>
      <c r="C141" s="263" t="s">
        <v>92</v>
      </c>
      <c r="D141" s="264"/>
      <c r="E141" s="265"/>
      <c r="F141" s="256"/>
      <c r="G141" s="257"/>
      <c r="H141" s="256"/>
      <c r="I141" s="257"/>
      <c r="J141" s="258"/>
      <c r="K141" s="257"/>
      <c r="L141" s="256"/>
      <c r="M141" s="257"/>
    </row>
    <row r="142" spans="1:13" ht="15.75" thickBot="1">
      <c r="B142" s="259"/>
      <c r="C142" s="266" t="s">
        <v>40</v>
      </c>
      <c r="D142" s="267"/>
      <c r="E142" s="268"/>
      <c r="F142" s="205"/>
      <c r="G142" s="206"/>
      <c r="H142" s="205"/>
      <c r="I142" s="206"/>
      <c r="J142" s="207"/>
      <c r="K142" s="206"/>
      <c r="L142" s="205"/>
      <c r="M142" s="206"/>
    </row>
    <row r="143" spans="1:13">
      <c r="B143" s="269" t="s">
        <v>78</v>
      </c>
      <c r="C143" s="260" t="s">
        <v>115</v>
      </c>
      <c r="D143" s="261"/>
      <c r="E143" s="262"/>
      <c r="F143" s="273"/>
      <c r="G143" s="274"/>
      <c r="H143" s="273"/>
      <c r="I143" s="274"/>
      <c r="J143" s="275"/>
      <c r="K143" s="274"/>
      <c r="L143" s="273"/>
      <c r="M143" s="274"/>
    </row>
    <row r="144" spans="1:13">
      <c r="B144" s="164"/>
      <c r="C144" s="263" t="s">
        <v>98</v>
      </c>
      <c r="D144" s="264"/>
      <c r="E144" s="265"/>
      <c r="F144" s="276"/>
      <c r="G144" s="277"/>
      <c r="H144" s="276"/>
      <c r="I144" s="277"/>
      <c r="J144" s="278"/>
      <c r="K144" s="277"/>
      <c r="L144" s="276"/>
      <c r="M144" s="277"/>
    </row>
    <row r="145" spans="2:13" ht="15.75" thickBot="1">
      <c r="B145" s="259"/>
      <c r="C145" s="266" t="s">
        <v>40</v>
      </c>
      <c r="D145" s="267"/>
      <c r="E145" s="268"/>
      <c r="F145" s="205"/>
      <c r="G145" s="206"/>
      <c r="H145" s="205"/>
      <c r="I145" s="206"/>
      <c r="J145" s="207"/>
      <c r="K145" s="206"/>
      <c r="L145" s="205"/>
      <c r="M145" s="206"/>
    </row>
    <row r="146" spans="2:13">
      <c r="B146" s="269" t="s">
        <v>79</v>
      </c>
      <c r="C146" s="260" t="s">
        <v>99</v>
      </c>
      <c r="D146" s="261"/>
      <c r="E146" s="262"/>
      <c r="F146" s="279"/>
      <c r="G146" s="280"/>
      <c r="H146" s="279"/>
      <c r="I146" s="280"/>
      <c r="J146" s="281"/>
      <c r="K146" s="280"/>
      <c r="L146" s="279"/>
      <c r="M146" s="280"/>
    </row>
    <row r="147" spans="2:13" ht="15.75" thickBot="1">
      <c r="B147" s="259"/>
      <c r="C147" s="266" t="s">
        <v>40</v>
      </c>
      <c r="D147" s="267"/>
      <c r="E147" s="268"/>
      <c r="F147" s="205"/>
      <c r="G147" s="206"/>
      <c r="H147" s="205"/>
      <c r="I147" s="206"/>
      <c r="J147" s="207"/>
      <c r="K147" s="206"/>
      <c r="L147" s="205"/>
      <c r="M147" s="206"/>
    </row>
    <row r="148" spans="2:13">
      <c r="B148" s="269" t="s">
        <v>80</v>
      </c>
      <c r="C148" s="260" t="s">
        <v>81</v>
      </c>
      <c r="D148" s="261"/>
      <c r="E148" s="262"/>
      <c r="F148" s="273"/>
      <c r="G148" s="274"/>
      <c r="H148" s="273"/>
      <c r="I148" s="274"/>
      <c r="J148" s="275"/>
      <c r="K148" s="274"/>
      <c r="L148" s="273"/>
      <c r="M148" s="274"/>
    </row>
    <row r="149" spans="2:13">
      <c r="B149" s="164"/>
      <c r="C149" s="263" t="s">
        <v>100</v>
      </c>
      <c r="D149" s="264"/>
      <c r="E149" s="265"/>
      <c r="F149" s="256"/>
      <c r="G149" s="257"/>
      <c r="H149" s="256"/>
      <c r="I149" s="257"/>
      <c r="J149" s="258"/>
      <c r="K149" s="257"/>
      <c r="L149" s="256"/>
      <c r="M149" s="257"/>
    </row>
    <row r="150" spans="2:13" ht="15.75" thickBot="1">
      <c r="B150" s="259"/>
      <c r="C150" s="266" t="s">
        <v>40</v>
      </c>
      <c r="D150" s="267"/>
      <c r="E150" s="268"/>
      <c r="F150" s="205"/>
      <c r="G150" s="206"/>
      <c r="H150" s="205"/>
      <c r="I150" s="206"/>
      <c r="J150" s="207"/>
      <c r="K150" s="206"/>
      <c r="L150" s="205"/>
      <c r="M150" s="206"/>
    </row>
    <row r="151" spans="2:13">
      <c r="B151" s="269" t="s">
        <v>81</v>
      </c>
      <c r="C151" s="260" t="s">
        <v>101</v>
      </c>
      <c r="D151" s="261"/>
      <c r="E151" s="262"/>
      <c r="F151" s="273"/>
      <c r="G151" s="274"/>
      <c r="H151" s="273"/>
      <c r="I151" s="274"/>
      <c r="J151" s="275"/>
      <c r="K151" s="274"/>
      <c r="L151" s="273"/>
      <c r="M151" s="274"/>
    </row>
    <row r="152" spans="2:13">
      <c r="B152" s="164"/>
      <c r="C152" s="263" t="s">
        <v>102</v>
      </c>
      <c r="D152" s="264"/>
      <c r="E152" s="265"/>
      <c r="F152" s="256"/>
      <c r="G152" s="257"/>
      <c r="H152" s="256"/>
      <c r="I152" s="257"/>
      <c r="J152" s="258"/>
      <c r="K152" s="257"/>
      <c r="L152" s="256"/>
      <c r="M152" s="257"/>
    </row>
    <row r="153" spans="2:13">
      <c r="B153" s="164"/>
      <c r="C153" s="263" t="s">
        <v>103</v>
      </c>
      <c r="D153" s="264"/>
      <c r="E153" s="265"/>
      <c r="F153" s="256"/>
      <c r="G153" s="257"/>
      <c r="H153" s="256"/>
      <c r="I153" s="257"/>
      <c r="J153" s="258"/>
      <c r="K153" s="257"/>
      <c r="L153" s="256"/>
      <c r="M153" s="257"/>
    </row>
    <row r="154" spans="2:13">
      <c r="B154" s="164"/>
      <c r="C154" s="263" t="s">
        <v>104</v>
      </c>
      <c r="D154" s="264"/>
      <c r="E154" s="265"/>
      <c r="F154" s="256"/>
      <c r="G154" s="257"/>
      <c r="H154" s="256"/>
      <c r="I154" s="257"/>
      <c r="J154" s="258"/>
      <c r="K154" s="257"/>
      <c r="L154" s="256"/>
      <c r="M154" s="257"/>
    </row>
    <row r="155" spans="2:13">
      <c r="B155" s="164"/>
      <c r="C155" s="263" t="s">
        <v>105</v>
      </c>
      <c r="D155" s="264"/>
      <c r="E155" s="265"/>
      <c r="F155" s="256"/>
      <c r="G155" s="257"/>
      <c r="H155" s="256"/>
      <c r="I155" s="257"/>
      <c r="J155" s="258"/>
      <c r="K155" s="257"/>
      <c r="L155" s="256"/>
      <c r="M155" s="257"/>
    </row>
    <row r="156" spans="2:13" ht="15.75" thickBot="1">
      <c r="B156" s="259"/>
      <c r="C156" s="266" t="s">
        <v>40</v>
      </c>
      <c r="D156" s="267"/>
      <c r="E156" s="268"/>
      <c r="F156" s="205"/>
      <c r="G156" s="206"/>
      <c r="H156" s="205"/>
      <c r="I156" s="206"/>
      <c r="J156" s="207"/>
      <c r="K156" s="206"/>
      <c r="L156" s="205"/>
      <c r="M156" s="206"/>
    </row>
    <row r="157" spans="2:13">
      <c r="B157" s="269" t="s">
        <v>82</v>
      </c>
      <c r="C157" s="260" t="s">
        <v>106</v>
      </c>
      <c r="D157" s="261"/>
      <c r="E157" s="262"/>
      <c r="F157" s="273"/>
      <c r="G157" s="274"/>
      <c r="H157" s="273"/>
      <c r="I157" s="274"/>
      <c r="J157" s="275"/>
      <c r="K157" s="274"/>
      <c r="L157" s="273"/>
      <c r="M157" s="274"/>
    </row>
    <row r="158" spans="2:13">
      <c r="B158" s="164"/>
      <c r="C158" s="263" t="s">
        <v>107</v>
      </c>
      <c r="D158" s="264"/>
      <c r="E158" s="265"/>
      <c r="F158" s="256"/>
      <c r="G158" s="257"/>
      <c r="H158" s="256"/>
      <c r="I158" s="257"/>
      <c r="J158" s="258"/>
      <c r="K158" s="257"/>
      <c r="L158" s="256"/>
      <c r="M158" s="257"/>
    </row>
    <row r="159" spans="2:13">
      <c r="B159" s="164"/>
      <c r="C159" s="263" t="s">
        <v>108</v>
      </c>
      <c r="D159" s="264"/>
      <c r="E159" s="265"/>
      <c r="F159" s="256"/>
      <c r="G159" s="257"/>
      <c r="H159" s="256"/>
      <c r="I159" s="257"/>
      <c r="J159" s="258"/>
      <c r="K159" s="257"/>
      <c r="L159" s="256"/>
      <c r="M159" s="257"/>
    </row>
    <row r="160" spans="2:13">
      <c r="B160" s="164"/>
      <c r="C160" s="263" t="s">
        <v>97</v>
      </c>
      <c r="D160" s="264"/>
      <c r="E160" s="265"/>
      <c r="F160" s="256"/>
      <c r="G160" s="257"/>
      <c r="H160" s="256"/>
      <c r="I160" s="257"/>
      <c r="J160" s="258"/>
      <c r="K160" s="257"/>
      <c r="L160" s="256"/>
      <c r="M160" s="257"/>
    </row>
    <row r="161" spans="1:15">
      <c r="B161" s="164"/>
      <c r="C161" s="263" t="s">
        <v>96</v>
      </c>
      <c r="D161" s="264"/>
      <c r="E161" s="265"/>
      <c r="F161" s="256"/>
      <c r="G161" s="257"/>
      <c r="H161" s="256"/>
      <c r="I161" s="257"/>
      <c r="J161" s="258"/>
      <c r="K161" s="257"/>
      <c r="L161" s="256"/>
      <c r="M161" s="257"/>
    </row>
    <row r="162" spans="1:15">
      <c r="B162" s="164"/>
      <c r="C162" s="263" t="s">
        <v>95</v>
      </c>
      <c r="D162" s="264"/>
      <c r="E162" s="265"/>
      <c r="F162" s="256"/>
      <c r="G162" s="257"/>
      <c r="H162" s="256"/>
      <c r="I162" s="257"/>
      <c r="J162" s="258"/>
      <c r="K162" s="257"/>
      <c r="L162" s="256"/>
      <c r="M162" s="257"/>
    </row>
    <row r="163" spans="1:15" ht="15.75" thickBot="1">
      <c r="B163" s="259"/>
      <c r="C163" s="266" t="s">
        <v>40</v>
      </c>
      <c r="D163" s="267"/>
      <c r="E163" s="268"/>
      <c r="F163" s="205"/>
      <c r="G163" s="206"/>
      <c r="H163" s="205"/>
      <c r="I163" s="206"/>
      <c r="J163" s="207"/>
      <c r="K163" s="206"/>
      <c r="L163" s="205"/>
      <c r="M163" s="206"/>
    </row>
    <row r="164" spans="1:15">
      <c r="B164" s="269" t="s">
        <v>83</v>
      </c>
      <c r="C164" s="260" t="s">
        <v>94</v>
      </c>
      <c r="D164" s="261"/>
      <c r="E164" s="262"/>
      <c r="F164" s="279"/>
      <c r="G164" s="280"/>
      <c r="H164" s="273"/>
      <c r="I164" s="274"/>
      <c r="J164" s="275"/>
      <c r="K164" s="274"/>
      <c r="L164" s="273"/>
      <c r="M164" s="274"/>
    </row>
    <row r="165" spans="1:15" ht="15.75" thickBot="1">
      <c r="B165" s="259"/>
      <c r="C165" s="266" t="s">
        <v>40</v>
      </c>
      <c r="D165" s="267"/>
      <c r="E165" s="268"/>
      <c r="F165" s="205"/>
      <c r="G165" s="206"/>
      <c r="H165" s="205"/>
      <c r="I165" s="206"/>
      <c r="J165" s="207"/>
      <c r="K165" s="206"/>
      <c r="L165" s="205"/>
      <c r="M165" s="206"/>
    </row>
    <row r="166" spans="1:15">
      <c r="B166" s="269" t="s">
        <v>84</v>
      </c>
      <c r="C166" s="260" t="s">
        <v>93</v>
      </c>
      <c r="D166" s="261"/>
      <c r="E166" s="262"/>
      <c r="F166" s="273"/>
      <c r="G166" s="274"/>
      <c r="H166" s="273"/>
      <c r="I166" s="274"/>
      <c r="J166" s="275"/>
      <c r="K166" s="274"/>
      <c r="L166" s="273"/>
      <c r="M166" s="274"/>
    </row>
    <row r="167" spans="1:15" ht="15.75" thickBot="1">
      <c r="B167" s="282"/>
      <c r="C167" s="266" t="s">
        <v>40</v>
      </c>
      <c r="D167" s="267"/>
      <c r="E167" s="268"/>
      <c r="F167" s="283"/>
      <c r="G167" s="284"/>
      <c r="H167" s="283"/>
      <c r="I167" s="284"/>
      <c r="J167" s="285"/>
      <c r="K167" s="284"/>
      <c r="L167" s="283"/>
      <c r="M167" s="284"/>
    </row>
    <row r="168" spans="1:15" ht="15.75" thickBot="1">
      <c r="B168" s="293" t="s">
        <v>151</v>
      </c>
      <c r="C168" s="294"/>
      <c r="D168" s="294"/>
      <c r="E168" s="295"/>
      <c r="F168" s="296">
        <f>SUM(F125:G167)</f>
        <v>0</v>
      </c>
      <c r="G168" s="297"/>
      <c r="H168" s="296">
        <f>SUM(H125:I167)</f>
        <v>0</v>
      </c>
      <c r="I168" s="297"/>
      <c r="J168" s="298">
        <f>SUM(J125:K167)</f>
        <v>0</v>
      </c>
      <c r="K168" s="297"/>
      <c r="L168" s="296">
        <f>SUM(L125:M167)</f>
        <v>0</v>
      </c>
      <c r="M168" s="297"/>
    </row>
    <row r="169" spans="1:15">
      <c r="B169" s="182"/>
      <c r="C169" s="182"/>
      <c r="J169" s="23"/>
      <c r="K169" s="23"/>
      <c r="L169" s="23"/>
      <c r="M169" s="23"/>
      <c r="N169" s="23"/>
      <c r="O169" s="23"/>
    </row>
    <row r="170" spans="1:15" ht="21.75" customHeight="1">
      <c r="A170" s="103"/>
      <c r="B170" s="194" t="s">
        <v>156</v>
      </c>
      <c r="C170" s="195"/>
      <c r="D170" s="195"/>
      <c r="E170" s="195"/>
      <c r="F170" s="195"/>
      <c r="G170" s="195"/>
      <c r="H170" s="195"/>
      <c r="I170" s="195"/>
      <c r="J170" s="195"/>
      <c r="K170" s="195"/>
      <c r="L170" s="195"/>
      <c r="M170" s="195"/>
    </row>
    <row r="172" spans="1:15" ht="15.75">
      <c r="B172" s="70" t="s">
        <v>310</v>
      </c>
    </row>
    <row r="173" spans="1:15" ht="15.75">
      <c r="B173" s="70" t="s">
        <v>71</v>
      </c>
    </row>
  </sheetData>
  <mergeCells count="310">
    <mergeCell ref="B164:B165"/>
    <mergeCell ref="B66:E66"/>
    <mergeCell ref="D70:E70"/>
    <mergeCell ref="D75:E75"/>
    <mergeCell ref="D76:E76"/>
    <mergeCell ref="B79:O79"/>
    <mergeCell ref="B80:O80"/>
    <mergeCell ref="B168:E168"/>
    <mergeCell ref="F168:G168"/>
    <mergeCell ref="H168:I168"/>
    <mergeCell ref="J168:K168"/>
    <mergeCell ref="L168:M168"/>
    <mergeCell ref="C164:E164"/>
    <mergeCell ref="F164:G164"/>
    <mergeCell ref="H164:I164"/>
    <mergeCell ref="J164:K164"/>
    <mergeCell ref="L164:M164"/>
    <mergeCell ref="C165:E165"/>
    <mergeCell ref="F165:G165"/>
    <mergeCell ref="H165:I165"/>
    <mergeCell ref="J165:K165"/>
    <mergeCell ref="L165:M165"/>
    <mergeCell ref="C162:E162"/>
    <mergeCell ref="J163:K163"/>
    <mergeCell ref="B169:C169"/>
    <mergeCell ref="B166:B167"/>
    <mergeCell ref="C166:E166"/>
    <mergeCell ref="F166:G166"/>
    <mergeCell ref="H166:I166"/>
    <mergeCell ref="J166:K166"/>
    <mergeCell ref="L166:M166"/>
    <mergeCell ref="C167:E167"/>
    <mergeCell ref="F167:G167"/>
    <mergeCell ref="H167:I167"/>
    <mergeCell ref="J167:K167"/>
    <mergeCell ref="L167:M167"/>
    <mergeCell ref="L163:M163"/>
    <mergeCell ref="F160:G160"/>
    <mergeCell ref="H160:I160"/>
    <mergeCell ref="J160:K160"/>
    <mergeCell ref="L160:M160"/>
    <mergeCell ref="C161:E161"/>
    <mergeCell ref="F161:G161"/>
    <mergeCell ref="H161:I161"/>
    <mergeCell ref="J161:K161"/>
    <mergeCell ref="L161:M161"/>
    <mergeCell ref="F162:G162"/>
    <mergeCell ref="H162:I162"/>
    <mergeCell ref="J162:K162"/>
    <mergeCell ref="L162:M162"/>
    <mergeCell ref="C163:E163"/>
    <mergeCell ref="F163:G163"/>
    <mergeCell ref="H163:I163"/>
    <mergeCell ref="J155:K155"/>
    <mergeCell ref="L155:M155"/>
    <mergeCell ref="C156:E156"/>
    <mergeCell ref="F156:G156"/>
    <mergeCell ref="H156:I156"/>
    <mergeCell ref="J156:K156"/>
    <mergeCell ref="L156:M156"/>
    <mergeCell ref="B157:B163"/>
    <mergeCell ref="C157:E157"/>
    <mergeCell ref="F157:G157"/>
    <mergeCell ref="H157:I157"/>
    <mergeCell ref="J157:K157"/>
    <mergeCell ref="L157:M157"/>
    <mergeCell ref="C158:E158"/>
    <mergeCell ref="F158:G158"/>
    <mergeCell ref="H158:I158"/>
    <mergeCell ref="J158:K158"/>
    <mergeCell ref="L158:M158"/>
    <mergeCell ref="C159:E159"/>
    <mergeCell ref="F159:G159"/>
    <mergeCell ref="H159:I159"/>
    <mergeCell ref="J159:K159"/>
    <mergeCell ref="L159:M159"/>
    <mergeCell ref="C160:E160"/>
    <mergeCell ref="B151:B156"/>
    <mergeCell ref="C151:E151"/>
    <mergeCell ref="F151:G151"/>
    <mergeCell ref="H151:I151"/>
    <mergeCell ref="J151:K151"/>
    <mergeCell ref="L151:M151"/>
    <mergeCell ref="C152:E152"/>
    <mergeCell ref="F152:G152"/>
    <mergeCell ref="H152:I152"/>
    <mergeCell ref="J152:K152"/>
    <mergeCell ref="L152:M152"/>
    <mergeCell ref="C153:E153"/>
    <mergeCell ref="F153:G153"/>
    <mergeCell ref="H153:I153"/>
    <mergeCell ref="J153:K153"/>
    <mergeCell ref="L153:M153"/>
    <mergeCell ref="C154:E154"/>
    <mergeCell ref="F154:G154"/>
    <mergeCell ref="H154:I154"/>
    <mergeCell ref="J154:K154"/>
    <mergeCell ref="L154:M154"/>
    <mergeCell ref="C155:E155"/>
    <mergeCell ref="F155:G155"/>
    <mergeCell ref="H155:I155"/>
    <mergeCell ref="B148:B150"/>
    <mergeCell ref="C148:E148"/>
    <mergeCell ref="F148:G148"/>
    <mergeCell ref="H148:I148"/>
    <mergeCell ref="J148:K148"/>
    <mergeCell ref="L148:M148"/>
    <mergeCell ref="C149:E149"/>
    <mergeCell ref="F149:G149"/>
    <mergeCell ref="H149:I149"/>
    <mergeCell ref="J149:K149"/>
    <mergeCell ref="L149:M149"/>
    <mergeCell ref="C150:E150"/>
    <mergeCell ref="F150:G150"/>
    <mergeCell ref="H150:I150"/>
    <mergeCell ref="J150:K150"/>
    <mergeCell ref="L150:M150"/>
    <mergeCell ref="B146:B147"/>
    <mergeCell ref="C146:E146"/>
    <mergeCell ref="F146:G146"/>
    <mergeCell ref="H146:I146"/>
    <mergeCell ref="J146:K146"/>
    <mergeCell ref="L146:M146"/>
    <mergeCell ref="C147:E147"/>
    <mergeCell ref="F147:G147"/>
    <mergeCell ref="H147:I147"/>
    <mergeCell ref="J147:K147"/>
    <mergeCell ref="L147:M147"/>
    <mergeCell ref="B143:B145"/>
    <mergeCell ref="C143:E143"/>
    <mergeCell ref="F143:G143"/>
    <mergeCell ref="H143:I143"/>
    <mergeCell ref="J143:K143"/>
    <mergeCell ref="L143:M143"/>
    <mergeCell ref="C144:E144"/>
    <mergeCell ref="F144:G144"/>
    <mergeCell ref="H144:I144"/>
    <mergeCell ref="J144:K144"/>
    <mergeCell ref="L144:M144"/>
    <mergeCell ref="C145:E145"/>
    <mergeCell ref="F145:G145"/>
    <mergeCell ref="H145:I145"/>
    <mergeCell ref="J145:K145"/>
    <mergeCell ref="L145:M145"/>
    <mergeCell ref="J140:K140"/>
    <mergeCell ref="L140:M140"/>
    <mergeCell ref="C141:E141"/>
    <mergeCell ref="F141:G141"/>
    <mergeCell ref="H141:I141"/>
    <mergeCell ref="J141:K141"/>
    <mergeCell ref="L141:M141"/>
    <mergeCell ref="C142:E142"/>
    <mergeCell ref="F142:G142"/>
    <mergeCell ref="H142:I142"/>
    <mergeCell ref="J142:K142"/>
    <mergeCell ref="L142:M142"/>
    <mergeCell ref="B136:B142"/>
    <mergeCell ref="C136:E136"/>
    <mergeCell ref="F136:G136"/>
    <mergeCell ref="H136:I136"/>
    <mergeCell ref="J136:K136"/>
    <mergeCell ref="L136:M136"/>
    <mergeCell ref="C137:E137"/>
    <mergeCell ref="F137:G137"/>
    <mergeCell ref="H137:I137"/>
    <mergeCell ref="J137:K137"/>
    <mergeCell ref="L137:M137"/>
    <mergeCell ref="C138:E138"/>
    <mergeCell ref="F138:G138"/>
    <mergeCell ref="H138:I138"/>
    <mergeCell ref="J138:K138"/>
    <mergeCell ref="L138:M138"/>
    <mergeCell ref="C139:E139"/>
    <mergeCell ref="F139:G139"/>
    <mergeCell ref="H139:I139"/>
    <mergeCell ref="J139:K139"/>
    <mergeCell ref="L139:M139"/>
    <mergeCell ref="C140:E140"/>
    <mergeCell ref="F140:G140"/>
    <mergeCell ref="H140:I140"/>
    <mergeCell ref="B132:B135"/>
    <mergeCell ref="C132:E132"/>
    <mergeCell ref="F132:G132"/>
    <mergeCell ref="H132:I132"/>
    <mergeCell ref="J132:K132"/>
    <mergeCell ref="L132:M132"/>
    <mergeCell ref="C133:E133"/>
    <mergeCell ref="F133:G133"/>
    <mergeCell ref="H133:I133"/>
    <mergeCell ref="J133:K133"/>
    <mergeCell ref="L133:M133"/>
    <mergeCell ref="C134:E134"/>
    <mergeCell ref="F134:G134"/>
    <mergeCell ref="H134:I134"/>
    <mergeCell ref="J134:K134"/>
    <mergeCell ref="L134:M134"/>
    <mergeCell ref="C135:E135"/>
    <mergeCell ref="F135:G135"/>
    <mergeCell ref="H135:I135"/>
    <mergeCell ref="J135:K135"/>
    <mergeCell ref="L135:M135"/>
    <mergeCell ref="L129:M129"/>
    <mergeCell ref="C130:E130"/>
    <mergeCell ref="H130:I130"/>
    <mergeCell ref="J130:K130"/>
    <mergeCell ref="L130:M130"/>
    <mergeCell ref="C131:E131"/>
    <mergeCell ref="F131:G131"/>
    <mergeCell ref="H131:I131"/>
    <mergeCell ref="J131:K131"/>
    <mergeCell ref="L131:M131"/>
    <mergeCell ref="F130:G130"/>
    <mergeCell ref="F129:G129"/>
    <mergeCell ref="H129:I129"/>
    <mergeCell ref="J129:K129"/>
    <mergeCell ref="G41:I42"/>
    <mergeCell ref="D68:E68"/>
    <mergeCell ref="B122:E122"/>
    <mergeCell ref="B123:E124"/>
    <mergeCell ref="H123:I123"/>
    <mergeCell ref="J123:K123"/>
    <mergeCell ref="L123:M123"/>
    <mergeCell ref="H124:I124"/>
    <mergeCell ref="J124:K124"/>
    <mergeCell ref="L124:M124"/>
    <mergeCell ref="C107:D107"/>
    <mergeCell ref="B90:O90"/>
    <mergeCell ref="B91:O91"/>
    <mergeCell ref="B57:E57"/>
    <mergeCell ref="F57:G57"/>
    <mergeCell ref="I57:J57"/>
    <mergeCell ref="B58:E58"/>
    <mergeCell ref="F58:G58"/>
    <mergeCell ref="B59:E59"/>
    <mergeCell ref="F59:K59"/>
    <mergeCell ref="B60:E60"/>
    <mergeCell ref="B61:E61"/>
    <mergeCell ref="B78:L78"/>
    <mergeCell ref="D69:E69"/>
    <mergeCell ref="F2:G2"/>
    <mergeCell ref="C40:D40"/>
    <mergeCell ref="C2:D2"/>
    <mergeCell ref="B3:M3"/>
    <mergeCell ref="C29:E29"/>
    <mergeCell ref="B28:C28"/>
    <mergeCell ref="C21:E21"/>
    <mergeCell ref="C22:E22"/>
    <mergeCell ref="J28:K28"/>
    <mergeCell ref="J23:L23"/>
    <mergeCell ref="G36:I38"/>
    <mergeCell ref="J24:L24"/>
    <mergeCell ref="G39:I40"/>
    <mergeCell ref="J22:L22"/>
    <mergeCell ref="J26:L26"/>
    <mergeCell ref="H21:I21"/>
    <mergeCell ref="H22:I22"/>
    <mergeCell ref="H23:I23"/>
    <mergeCell ref="H24:I24"/>
    <mergeCell ref="J29:K29"/>
    <mergeCell ref="B10:M10"/>
    <mergeCell ref="H28:I28"/>
    <mergeCell ref="C15:D15"/>
    <mergeCell ref="B6:M6"/>
    <mergeCell ref="B170:M170"/>
    <mergeCell ref="C127:E127"/>
    <mergeCell ref="F128:G128"/>
    <mergeCell ref="F126:G126"/>
    <mergeCell ref="F127:G127"/>
    <mergeCell ref="C125:E125"/>
    <mergeCell ref="F123:G123"/>
    <mergeCell ref="F124:G124"/>
    <mergeCell ref="F125:G125"/>
    <mergeCell ref="B125:B127"/>
    <mergeCell ref="C126:E126"/>
    <mergeCell ref="H125:I125"/>
    <mergeCell ref="J125:K125"/>
    <mergeCell ref="L125:M125"/>
    <mergeCell ref="H126:I126"/>
    <mergeCell ref="J126:K126"/>
    <mergeCell ref="L126:M126"/>
    <mergeCell ref="H127:I127"/>
    <mergeCell ref="J127:K127"/>
    <mergeCell ref="L127:M127"/>
    <mergeCell ref="L128:M128"/>
    <mergeCell ref="C129:E129"/>
    <mergeCell ref="J21:L21"/>
    <mergeCell ref="J27:L27"/>
    <mergeCell ref="B128:B131"/>
    <mergeCell ref="C128:E128"/>
    <mergeCell ref="H128:I128"/>
    <mergeCell ref="J128:K128"/>
    <mergeCell ref="H25:I25"/>
    <mergeCell ref="H26:I26"/>
    <mergeCell ref="H27:I27"/>
    <mergeCell ref="B116:M116"/>
    <mergeCell ref="D67:E67"/>
    <mergeCell ref="C48:E48"/>
    <mergeCell ref="C49:E49"/>
    <mergeCell ref="C50:E50"/>
    <mergeCell ref="C51:E51"/>
    <mergeCell ref="C54:E54"/>
    <mergeCell ref="B82:C82"/>
    <mergeCell ref="B83:C83"/>
    <mergeCell ref="B89:E89"/>
    <mergeCell ref="B101:C101"/>
    <mergeCell ref="B109:I109"/>
    <mergeCell ref="B115:M115"/>
    <mergeCell ref="G43:I44"/>
    <mergeCell ref="H29:I29"/>
    <mergeCell ref="F81:O81"/>
  </mergeCells>
  <conditionalFormatting sqref="C15:D15">
    <cfRule type="cellIs" dxfId="11" priority="22" operator="equal">
      <formula>""</formula>
    </cfRule>
  </conditionalFormatting>
  <conditionalFormatting sqref="C36">
    <cfRule type="cellIs" dxfId="10" priority="21" operator="equal">
      <formula>""</formula>
    </cfRule>
  </conditionalFormatting>
  <conditionalFormatting sqref="C94:F96">
    <cfRule type="cellIs" dxfId="9" priority="20" operator="equal">
      <formula>""</formula>
    </cfRule>
  </conditionalFormatting>
  <conditionalFormatting sqref="C107:D107">
    <cfRule type="cellIs" dxfId="8" priority="19" operator="equal">
      <formula>""</formula>
    </cfRule>
  </conditionalFormatting>
  <conditionalFormatting sqref="A73:K77">
    <cfRule type="expression" dxfId="7" priority="17">
      <formula>$F$60=""</formula>
    </cfRule>
  </conditionalFormatting>
  <conditionalFormatting sqref="P82:U82">
    <cfRule type="expression" dxfId="6" priority="16">
      <formula>$C$15="Pour fermeture d'au minimum 40j"</formula>
    </cfRule>
  </conditionalFormatting>
  <conditionalFormatting sqref="P83:U83">
    <cfRule type="expression" dxfId="5" priority="15">
      <formula>$C$15="Pour fermeture d'au minimum 40j"</formula>
    </cfRule>
  </conditionalFormatting>
  <conditionalFormatting sqref="A78:V84">
    <cfRule type="expression" dxfId="4" priority="14">
      <formula>$C$15="Pour fermeture d'au minimum 40j"</formula>
    </cfRule>
  </conditionalFormatting>
  <conditionalFormatting sqref="B80:O80">
    <cfRule type="expression" dxfId="3" priority="2">
      <formula>AND($F$60="X",$C$15="Pour fermeture d'au minimum 40j")</formula>
    </cfRule>
    <cfRule type="expression" dxfId="2" priority="13">
      <formula>$F$60="X"</formula>
    </cfRule>
  </conditionalFormatting>
  <conditionalFormatting sqref="B91:O91">
    <cfRule type="expression" dxfId="1" priority="11">
      <formula>$F$60="X"</formula>
    </cfRule>
  </conditionalFormatting>
  <conditionalFormatting sqref="B116:M116">
    <cfRule type="expression" dxfId="0" priority="1">
      <formula>OR($F$57&lt;&gt;"",$I$57&lt;&gt;"")</formula>
    </cfRule>
  </conditionalFormatting>
  <dataValidations disablePrompts="1" count="6">
    <dataValidation type="list" allowBlank="1" showInputMessage="1" showErrorMessage="1" sqref="C32 C25">
      <formula1>Liste_Region</formula1>
    </dataValidation>
    <dataValidation type="list" allowBlank="1" showInputMessage="1" showErrorMessage="1" sqref="C37">
      <formula1>Liste_FormeJuridique</formula1>
    </dataValidation>
    <dataValidation type="list" allowBlank="1" showInputMessage="1" showErrorMessage="1" sqref="C40:D40">
      <formula1>Liste_Activite</formula1>
    </dataValidation>
    <dataValidation type="list" allowBlank="1" showInputMessage="1" showErrorMessage="1" sqref="F60:F61">
      <formula1>Liste_X</formula1>
    </dataValidation>
    <dataValidation type="list" showInputMessage="1" showErrorMessage="1" sqref="C15:D15">
      <formula1>Liste_Type</formula1>
    </dataValidation>
    <dataValidation type="list" allowBlank="1" showInputMessage="1" showErrorMessage="1" sqref="C107">
      <formula1>Liste_Option</formula1>
    </dataValidation>
  </dataValidations>
  <pageMargins left="0.7" right="0.7" top="0.75" bottom="0.75" header="0.3" footer="0.3"/>
  <pageSetup paperSize="9" scale="45"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0:AM134"/>
  <sheetViews>
    <sheetView topLeftCell="A85" workbookViewId="0">
      <selection activeCell="O137" sqref="O137"/>
    </sheetView>
  </sheetViews>
  <sheetFormatPr baseColWidth="10" defaultRowHeight="15"/>
  <cols>
    <col min="9" max="9" width="42.140625" customWidth="1"/>
    <col min="10" max="10" width="39.42578125" customWidth="1"/>
    <col min="11" max="11" width="29.28515625" customWidth="1"/>
    <col min="13" max="13" width="14.28515625" customWidth="1"/>
  </cols>
  <sheetData>
    <row r="10" spans="9:10">
      <c r="I10" s="146" t="s">
        <v>183</v>
      </c>
      <c r="J10" s="146" t="s">
        <v>41</v>
      </c>
    </row>
    <row r="11" spans="9:10">
      <c r="I11" s="146" t="s">
        <v>184</v>
      </c>
      <c r="J11" s="146" t="s">
        <v>313</v>
      </c>
    </row>
    <row r="12" spans="9:10">
      <c r="I12" s="144" t="s">
        <v>185</v>
      </c>
      <c r="J12" s="145">
        <f>DateDemande</f>
        <v>0</v>
      </c>
    </row>
    <row r="13" spans="9:10">
      <c r="I13" s="144" t="s">
        <v>186</v>
      </c>
      <c r="J13" s="144" t="str">
        <f>IF(DroitAide2021="","",DroitAide2021)</f>
        <v/>
      </c>
    </row>
    <row r="14" spans="9:10">
      <c r="I14" s="144" t="s">
        <v>187</v>
      </c>
      <c r="J14" s="144" t="str">
        <f>IF(NombreJoursFermeture="","",NombreJoursFermeture)</f>
        <v/>
      </c>
    </row>
    <row r="15" spans="9:10">
      <c r="I15" s="144" t="s">
        <v>189</v>
      </c>
      <c r="J15" s="144" t="str">
        <f>IF(NomEntreprise="","",NomEntreprise)</f>
        <v/>
      </c>
    </row>
    <row r="16" spans="9:10">
      <c r="I16" s="144" t="s">
        <v>188</v>
      </c>
      <c r="J16" s="144" t="str">
        <f>IF(RueEntreprise="","",RueEntreprise)</f>
        <v/>
      </c>
    </row>
    <row r="17" spans="9:10">
      <c r="I17" s="144" t="s">
        <v>190</v>
      </c>
      <c r="J17" s="144" t="str">
        <f>IF(CodePostaleEntreprise="","",CodePostaleEntreprise)</f>
        <v/>
      </c>
    </row>
    <row r="18" spans="9:10">
      <c r="I18" s="144" t="s">
        <v>191</v>
      </c>
      <c r="J18" s="144" t="str">
        <f>IF(LocaliteEntreprise="","",LocaliteEntreprise)</f>
        <v/>
      </c>
    </row>
    <row r="19" spans="9:10">
      <c r="I19" s="144" t="s">
        <v>192</v>
      </c>
      <c r="J19" s="144" t="str">
        <f>IF(RegionEntreprise="","",RegionEntreprise)</f>
        <v/>
      </c>
    </row>
    <row r="20" spans="9:10">
      <c r="I20" s="144" t="s">
        <v>193</v>
      </c>
      <c r="J20" s="147" t="str">
        <f>IF(RueSiege="","",RueSiege)</f>
        <v/>
      </c>
    </row>
    <row r="21" spans="9:10">
      <c r="I21" s="144" t="s">
        <v>194</v>
      </c>
      <c r="J21" s="144" t="str">
        <f>IF(CodePostaleSiege="","",CodePostaleSiege)</f>
        <v/>
      </c>
    </row>
    <row r="22" spans="9:10">
      <c r="I22" s="144" t="s">
        <v>195</v>
      </c>
      <c r="J22" s="144" t="str">
        <f>IF(LocaliteSiege="","",LocaliteSiege)</f>
        <v/>
      </c>
    </row>
    <row r="23" spans="9:10">
      <c r="I23" s="144" t="s">
        <v>196</v>
      </c>
      <c r="J23" s="144" t="str">
        <f>IF(RegionSiege="","",RegionSiege)</f>
        <v/>
      </c>
    </row>
    <row r="24" spans="9:10">
      <c r="I24" s="144" t="s">
        <v>197</v>
      </c>
      <c r="J24" s="144" t="str">
        <f>IF(NomContact="","",NomContact)</f>
        <v/>
      </c>
    </row>
    <row r="25" spans="9:10">
      <c r="I25" s="144" t="s">
        <v>198</v>
      </c>
      <c r="J25" s="144" t="str">
        <f>IF(PrenomContact="","",PrenomContact)</f>
        <v/>
      </c>
    </row>
    <row r="26" spans="9:10">
      <c r="I26" s="144" t="s">
        <v>199</v>
      </c>
      <c r="J26" s="144" t="str">
        <f>IF(FonctionContact="","",FonctionContact)</f>
        <v/>
      </c>
    </row>
    <row r="27" spans="9:10">
      <c r="I27" s="144" t="s">
        <v>200</v>
      </c>
      <c r="J27" s="144" t="str">
        <f>IF(RueContact="","",RueContact)</f>
        <v/>
      </c>
    </row>
    <row r="28" spans="9:10">
      <c r="I28" s="144" t="s">
        <v>201</v>
      </c>
      <c r="J28" s="144" t="str">
        <f>IF(CodePostalContact="","",CodePostalContact)</f>
        <v/>
      </c>
    </row>
    <row r="29" spans="9:10">
      <c r="I29" s="144" t="s">
        <v>202</v>
      </c>
      <c r="J29" s="144" t="str">
        <f>IF(LocaliteContact="","",LocaliteContact)</f>
        <v/>
      </c>
    </row>
    <row r="30" spans="9:10">
      <c r="I30" s="144" t="s">
        <v>203</v>
      </c>
      <c r="J30" s="144" t="str">
        <f>IF(MailContact="","",MailContact)</f>
        <v/>
      </c>
    </row>
    <row r="31" spans="9:10">
      <c r="I31" s="144" t="s">
        <v>204</v>
      </c>
      <c r="J31" s="144" t="str">
        <f>IF(TelephoneContact="","",TelephoneContact)</f>
        <v/>
      </c>
    </row>
    <row r="32" spans="9:10">
      <c r="I32" s="144" t="s">
        <v>205</v>
      </c>
      <c r="J32" s="144" t="str">
        <f>IF(PortableContact="","",PortableContact)</f>
        <v/>
      </c>
    </row>
    <row r="33" spans="9:10">
      <c r="I33" s="144" t="s">
        <v>206</v>
      </c>
      <c r="J33" s="144" t="str">
        <f>IF(IDE="","",IDE)</f>
        <v/>
      </c>
    </row>
    <row r="34" spans="9:10">
      <c r="I34" s="144" t="s">
        <v>207</v>
      </c>
      <c r="J34" s="144" t="str">
        <f>IF(FormeJuridique="","",FormeJuridique)</f>
        <v/>
      </c>
    </row>
    <row r="35" spans="9:10">
      <c r="I35" s="144" t="s">
        <v>208</v>
      </c>
      <c r="J35" s="144" t="str">
        <f>IF(AutreFormeJuridique="","",AutreFormeJuridique)</f>
        <v/>
      </c>
    </row>
    <row r="36" spans="9:10">
      <c r="I36" s="144" t="s">
        <v>209</v>
      </c>
      <c r="J36" s="145" t="str">
        <f>IF(DateInscriptionRC="","",DateInscriptionRC)</f>
        <v/>
      </c>
    </row>
    <row r="37" spans="9:10">
      <c r="I37" s="144" t="s">
        <v>210</v>
      </c>
      <c r="J37" s="144" t="str">
        <f>IF(Activite="","",Activite)</f>
        <v/>
      </c>
    </row>
    <row r="38" spans="9:10">
      <c r="I38" s="144" t="s">
        <v>211</v>
      </c>
      <c r="J38" s="144" t="str">
        <f>IF(SiteWeb="","",SiteWeb)</f>
        <v/>
      </c>
    </row>
    <row r="39" spans="9:10">
      <c r="I39" s="144" t="s">
        <v>212</v>
      </c>
      <c r="J39" s="144" t="str">
        <f>IF(CollaborateurTotal="","",CollaborateurTotal)</f>
        <v/>
      </c>
    </row>
    <row r="40" spans="9:10">
      <c r="I40" s="144" t="s">
        <v>213</v>
      </c>
      <c r="J40" s="144" t="str">
        <f>IF(CollaborateurSuisse="","",CollaborateurSuisse)</f>
        <v/>
      </c>
    </row>
    <row r="41" spans="9:10">
      <c r="I41" s="144" t="s">
        <v>214</v>
      </c>
      <c r="J41" s="144" t="str">
        <f>IF(CollaborateurBerne="","",CollaborateurBerne)</f>
        <v/>
      </c>
    </row>
    <row r="42" spans="9:10">
      <c r="I42" s="144" t="s">
        <v>215</v>
      </c>
      <c r="J42" s="144" t="str">
        <f>IF(EquivalentTempsPlein="","",EquivalentTempsPlein)</f>
        <v/>
      </c>
    </row>
    <row r="43" spans="9:10">
      <c r="I43" s="144" t="s">
        <v>216</v>
      </c>
      <c r="J43" s="144" t="str">
        <f>IF(Iban="","",Iban)</f>
        <v/>
      </c>
    </row>
    <row r="44" spans="9:10">
      <c r="I44" s="144" t="s">
        <v>43</v>
      </c>
      <c r="J44" s="144" t="str">
        <f>IF(CCP="","",CCP)</f>
        <v/>
      </c>
    </row>
    <row r="45" spans="9:10">
      <c r="I45" s="144" t="s">
        <v>44</v>
      </c>
      <c r="J45" s="144" t="str">
        <f>IF(Banque="","",Banque)</f>
        <v/>
      </c>
    </row>
    <row r="46" spans="9:10">
      <c r="I46" s="144" t="s">
        <v>217</v>
      </c>
      <c r="J46" s="144" t="str">
        <f>IF(NumeroCompte="","",NumeroCompte)</f>
        <v/>
      </c>
    </row>
    <row r="47" spans="9:10">
      <c r="I47" s="144" t="s">
        <v>218</v>
      </c>
      <c r="J47" s="144" t="str">
        <f>IF(GCP="","",GCP)</f>
        <v/>
      </c>
    </row>
    <row r="48" spans="9:10">
      <c r="I48" s="144" t="s">
        <v>219</v>
      </c>
      <c r="J48" s="145" t="str">
        <f>IF(Cas1_1="","",Cas1_1)</f>
        <v/>
      </c>
    </row>
    <row r="49" spans="9:14">
      <c r="I49" s="144" t="s">
        <v>220</v>
      </c>
      <c r="J49" s="145" t="str">
        <f>IF(Cas1_2="","",Cas1_2)</f>
        <v/>
      </c>
    </row>
    <row r="50" spans="9:14">
      <c r="I50" s="144" t="s">
        <v>221</v>
      </c>
      <c r="J50" s="145" t="str">
        <f>IF(Cas_2="","",Cas_2)</f>
        <v/>
      </c>
    </row>
    <row r="51" spans="9:14">
      <c r="I51" s="144" t="s">
        <v>222</v>
      </c>
      <c r="J51" s="144" t="str">
        <f>IF(Cas_3="","",Cas_3)</f>
        <v/>
      </c>
    </row>
    <row r="52" spans="9:14">
      <c r="I52" s="144" t="s">
        <v>223</v>
      </c>
      <c r="J52" s="144" t="str">
        <f>IF(Cas_4="","",Cas_4)</f>
        <v/>
      </c>
    </row>
    <row r="53" spans="9:14">
      <c r="I53" s="144" t="s">
        <v>224</v>
      </c>
      <c r="J53" s="144" t="str">
        <f>IF(Cas_5="","",Cas_5)</f>
        <v/>
      </c>
    </row>
    <row r="54" spans="9:14">
      <c r="I54" s="144" t="s">
        <v>225</v>
      </c>
      <c r="J54" s="144" t="str">
        <f>IF(PourcentageMasseSalariale="","",PourcentageMasseSalariale)</f>
        <v/>
      </c>
    </row>
    <row r="55" spans="9:14">
      <c r="I55" s="144" t="s">
        <v>226</v>
      </c>
      <c r="J55" s="144" t="str">
        <f>IF(OptionCalculdesCharges="","",OptionCalculdesCharges)</f>
        <v/>
      </c>
    </row>
    <row r="56" spans="9:14">
      <c r="I56" s="144" t="s">
        <v>227</v>
      </c>
      <c r="J56" s="144" t="str">
        <f>IF(ChargesAnnuelles="","",ChargesAnnuelles)</f>
        <v/>
      </c>
    </row>
    <row r="59" spans="9:14" ht="15.75">
      <c r="K59" s="148" t="s">
        <v>177</v>
      </c>
    </row>
    <row r="61" spans="9:14">
      <c r="K61" s="1" t="s">
        <v>228</v>
      </c>
      <c r="L61" s="1" t="s">
        <v>229</v>
      </c>
      <c r="M61" s="1">
        <v>2018</v>
      </c>
      <c r="N61" s="1">
        <v>2019</v>
      </c>
    </row>
    <row r="62" spans="9:14">
      <c r="K62" t="s">
        <v>230</v>
      </c>
      <c r="L62">
        <v>1</v>
      </c>
      <c r="M62" t="str">
        <f>IF(CACom2018="","",CACom2018)</f>
        <v/>
      </c>
      <c r="N62" t="str">
        <f>IF(CACom2019="","",CACom2019)</f>
        <v/>
      </c>
    </row>
    <row r="63" spans="9:14">
      <c r="K63" t="s">
        <v>231</v>
      </c>
      <c r="L63">
        <v>2</v>
      </c>
      <c r="M63" t="str">
        <f>IF(BeneficeFinal2018="","",BeneficeFinal2018)</f>
        <v/>
      </c>
      <c r="N63" t="str">
        <f>IF(BeneficeFinal2019="","",BeneficeFinal2019)</f>
        <v/>
      </c>
    </row>
    <row r="64" spans="9:14">
      <c r="K64" t="s">
        <v>232</v>
      </c>
      <c r="L64">
        <v>3</v>
      </c>
      <c r="M64" t="str">
        <f>IF(TotalFondPropre2018="","",TotalFondPropre2018)</f>
        <v/>
      </c>
      <c r="N64" t="str">
        <f>IF(TotalFondPropre2019="","",TotalFondPropre2019)</f>
        <v/>
      </c>
    </row>
    <row r="68" spans="11:39" ht="15.75">
      <c r="K68" s="135" t="s">
        <v>181</v>
      </c>
    </row>
    <row r="70" spans="11:39">
      <c r="K70" s="1" t="s">
        <v>228</v>
      </c>
      <c r="L70" s="1" t="s">
        <v>229</v>
      </c>
      <c r="M70" s="1">
        <v>2018</v>
      </c>
      <c r="N70" s="1">
        <v>2019</v>
      </c>
    </row>
    <row r="71" spans="11:39">
      <c r="K71" t="s">
        <v>233</v>
      </c>
      <c r="L71">
        <v>1</v>
      </c>
      <c r="M71" t="str">
        <f>IF(CAComSecteur2018="","",CAComSecteur2018)</f>
        <v/>
      </c>
      <c r="N71" t="str">
        <f>IF(CAComSecteur2019="","",CAComSecteur2019)</f>
        <v/>
      </c>
    </row>
    <row r="74" spans="11:39" ht="18.75">
      <c r="K74" t="s">
        <v>234</v>
      </c>
    </row>
    <row r="76" spans="11:39">
      <c r="K76" s="150" t="s">
        <v>228</v>
      </c>
      <c r="L76" s="150" t="s">
        <v>229</v>
      </c>
      <c r="M76" s="150" t="s">
        <v>235</v>
      </c>
      <c r="N76" s="150" t="s">
        <v>236</v>
      </c>
      <c r="O76" s="150" t="s">
        <v>237</v>
      </c>
      <c r="P76" s="150" t="s">
        <v>238</v>
      </c>
      <c r="Q76" s="150" t="s">
        <v>239</v>
      </c>
      <c r="R76" s="150" t="s">
        <v>240</v>
      </c>
      <c r="S76" s="150" t="s">
        <v>241</v>
      </c>
      <c r="T76" s="150" t="s">
        <v>242</v>
      </c>
      <c r="U76" s="150" t="s">
        <v>243</v>
      </c>
      <c r="V76" s="150" t="s">
        <v>244</v>
      </c>
      <c r="W76" s="150" t="s">
        <v>245</v>
      </c>
      <c r="X76" s="150" t="s">
        <v>246</v>
      </c>
      <c r="Y76" s="150" t="s">
        <v>247</v>
      </c>
      <c r="Z76" s="150" t="s">
        <v>248</v>
      </c>
      <c r="AA76" s="150" t="s">
        <v>249</v>
      </c>
      <c r="AB76" s="150" t="s">
        <v>250</v>
      </c>
      <c r="AC76" s="150" t="s">
        <v>251</v>
      </c>
      <c r="AD76" s="150" t="s">
        <v>252</v>
      </c>
      <c r="AE76" s="149"/>
      <c r="AF76" s="149"/>
      <c r="AG76" s="149"/>
      <c r="AH76" s="149"/>
      <c r="AI76" s="149"/>
      <c r="AJ76" s="149"/>
      <c r="AK76" s="149"/>
      <c r="AL76" s="149"/>
      <c r="AM76" s="149"/>
    </row>
    <row r="77" spans="11:39">
      <c r="K77" t="s">
        <v>254</v>
      </c>
      <c r="L77">
        <v>1</v>
      </c>
      <c r="M77" t="str">
        <f>IF(CAComJanvier2020="","",CAComJanvier2020)</f>
        <v/>
      </c>
      <c r="N77" t="str">
        <f>IF(CAComFevrier2020="","",CAComFevrier2020)</f>
        <v/>
      </c>
      <c r="O77" t="str">
        <f>IF(CAComMars2020="","",CAComMars2020)</f>
        <v/>
      </c>
      <c r="P77" t="str">
        <f>IF(CAComAvril2020="","",CAComAvril2020)</f>
        <v/>
      </c>
      <c r="Q77" t="str">
        <f>IF(CAComMai2020="","",CAComMai2020)</f>
        <v/>
      </c>
      <c r="R77" t="str">
        <f>IF(CAComJuin2020="","",CAComJuin2020)</f>
        <v/>
      </c>
      <c r="S77" t="str">
        <f>IF(CAComJuillet2020="","",CAComJuillet2020)</f>
        <v/>
      </c>
      <c r="T77" t="str">
        <f>IF(CAComAout2020="","",CAComAout2020)</f>
        <v/>
      </c>
      <c r="U77" t="str">
        <f>IF(CAComSeptembre2020="","",CAComSeptembre2020)</f>
        <v/>
      </c>
      <c r="V77" t="str">
        <f>IF(CAComOctobre2020="","",CAComOctobre2020)</f>
        <v/>
      </c>
      <c r="W77" t="str">
        <f>IF(CAComNovembre2020="","",CAComNovembre2020)</f>
        <v/>
      </c>
      <c r="X77" t="str">
        <f>IF(CAComDecembre2020="","",CAComDecembre2020)</f>
        <v/>
      </c>
      <c r="Y77" t="str">
        <f>IF(CAComJanvier2021="","",CAComJanvier2021)</f>
        <v/>
      </c>
      <c r="Z77" t="str">
        <f>IF(CAComFevrier2021="","",CAComFevrier2021)</f>
        <v/>
      </c>
      <c r="AA77" t="str">
        <f>IF(CAComMars2021="","",CAComMars2021)</f>
        <v/>
      </c>
      <c r="AB77" t="str">
        <f>IF(CAComAvril2021="","",CAComAvril2021)</f>
        <v/>
      </c>
      <c r="AC77" t="str">
        <f>IF(CAComMai2021="","",CAComMai2021)</f>
        <v/>
      </c>
      <c r="AD77" t="str">
        <f>IF(CAComJuin2021="","",CAComJuin2021)</f>
        <v/>
      </c>
    </row>
    <row r="80" spans="11:39">
      <c r="K80" s="1" t="s">
        <v>253</v>
      </c>
      <c r="L80" s="1"/>
    </row>
    <row r="82" spans="11:16">
      <c r="K82" s="1" t="s">
        <v>228</v>
      </c>
      <c r="L82" s="1" t="s">
        <v>229</v>
      </c>
      <c r="M82" s="150" t="s">
        <v>259</v>
      </c>
      <c r="N82" s="150" t="s">
        <v>260</v>
      </c>
      <c r="O82" s="150" t="s">
        <v>258</v>
      </c>
      <c r="P82" s="150" t="s">
        <v>261</v>
      </c>
    </row>
    <row r="83" spans="11:16">
      <c r="K83" t="s">
        <v>255</v>
      </c>
      <c r="L83">
        <v>1</v>
      </c>
      <c r="M83" t="str">
        <f>IF(CAComRevenuDecembre2021="","",CAComRevenuDecembre2021)</f>
        <v/>
      </c>
      <c r="N83" t="str">
        <f>IF(CAComRevenuJanvier2022="","",CAComRevenuJanvier2022)</f>
        <v/>
      </c>
      <c r="O83" t="str">
        <f>IF(CAComRevenuFevrier2022="","",CAComRevenuFevrier2022)</f>
        <v/>
      </c>
      <c r="P83" t="str">
        <f>IF(CAComRevenuMars2022="","",CAComRevenuMars2022)</f>
        <v/>
      </c>
    </row>
    <row r="84" spans="11:16">
      <c r="K84" t="s">
        <v>256</v>
      </c>
      <c r="L84">
        <v>2</v>
      </c>
      <c r="M84" t="str">
        <f>IF(MontantRevenuRHTDecembre2021="","",MontantRevenuRHTDecembre2021)</f>
        <v/>
      </c>
      <c r="N84" t="str">
        <f>IF(MontantRevenuRHTJanvier2022="","",MontantRevenuRHTJanvier2022)</f>
        <v/>
      </c>
      <c r="O84" t="str">
        <f>IF(MontantRevenuRHTFevrier2022="","",MontantRevenuRHTFevrier2022)</f>
        <v/>
      </c>
      <c r="P84" t="str">
        <f>IF(MontantRevenuRHTMars2022="","",MontantRevenuRHTMars2022)</f>
        <v/>
      </c>
    </row>
    <row r="85" spans="11:16">
      <c r="K85" t="s">
        <v>257</v>
      </c>
      <c r="L85">
        <v>3</v>
      </c>
      <c r="M85" t="str">
        <f>IF(MontantRevenuAPGDecembre2021="","",MontantRevenuAPGDecembre2021)</f>
        <v/>
      </c>
      <c r="N85" t="str">
        <f>IF(MontantRevenuAPGJanvier2022="","",MontantRevenuAPGJanvier2022)</f>
        <v/>
      </c>
      <c r="O85" t="str">
        <f>IF(MontantRevenuAPGFevrier2022="","",MontantRevenuAPGFevrier2022)</f>
        <v/>
      </c>
      <c r="P85" t="str">
        <f>IF(MontantRevenuAPGMars2022="","",MontantRevenuAPGMars2022)</f>
        <v/>
      </c>
    </row>
    <row r="88" spans="11:16">
      <c r="K88" s="1" t="s">
        <v>143</v>
      </c>
    </row>
    <row r="90" spans="11:16">
      <c r="K90" s="1" t="s">
        <v>228</v>
      </c>
      <c r="L90" s="1" t="s">
        <v>229</v>
      </c>
      <c r="M90" s="150" t="s">
        <v>259</v>
      </c>
      <c r="N90" s="150" t="s">
        <v>260</v>
      </c>
      <c r="O90" s="150" t="s">
        <v>258</v>
      </c>
      <c r="P90" s="150" t="s">
        <v>261</v>
      </c>
    </row>
    <row r="91" spans="11:16">
      <c r="K91" t="s">
        <v>262</v>
      </c>
      <c r="L91">
        <v>1</v>
      </c>
      <c r="M91" t="str">
        <f>IF(MaterielDecembre2021="","",MaterielDecembre2021)</f>
        <v/>
      </c>
      <c r="N91" t="str">
        <f>IF(MaterielJanvier2022="","",MaterielJanvier2022)</f>
        <v/>
      </c>
      <c r="O91" t="str">
        <f>IF(MaterielFevrier2022="","",MaterielFevrier2022)</f>
        <v/>
      </c>
      <c r="P91" t="str">
        <f>IF(MaterielMars2022="","",MaterielMars2022)</f>
        <v/>
      </c>
    </row>
    <row r="92" spans="11:16">
      <c r="K92" t="s">
        <v>263</v>
      </c>
      <c r="L92">
        <v>2</v>
      </c>
      <c r="M92" t="str">
        <f>IF(PrestationDecembre2021="","",PrestationDecembre2021)</f>
        <v/>
      </c>
      <c r="N92" t="str">
        <f>IF(PrestationJanvier2022="","",PrestationJanvier2022)</f>
        <v/>
      </c>
      <c r="O92" t="str">
        <f>IF(PrestationFevrier2022="","",PrestationFevrier2022)</f>
        <v/>
      </c>
      <c r="P92" t="str">
        <f>IF(PrestationMars2022="","",PrestationMars2022)</f>
        <v/>
      </c>
    </row>
    <row r="93" spans="11:16" ht="15.75" thickBot="1">
      <c r="K93" s="123" t="s">
        <v>264</v>
      </c>
      <c r="L93">
        <v>3</v>
      </c>
      <c r="M93" t="str">
        <f>IF(AutreFraisAchatDecembre2021="","",AutreFraisAchatDecembre2021)</f>
        <v/>
      </c>
      <c r="N93" t="str">
        <f>IF(AutreFraisAchatJanvier2022="","",AutreFraisAchatJanvier2022)</f>
        <v/>
      </c>
      <c r="O93" t="str">
        <f>IF(AutreFraisAchatFevrier2022="","",AutreFraisAchatFevrier2022)</f>
        <v/>
      </c>
      <c r="P93" t="str">
        <f>IF(AutreFraisAchatMars2022="","",AutreFraisAchatMars2022)</f>
        <v/>
      </c>
    </row>
    <row r="94" spans="11:16">
      <c r="K94" t="s">
        <v>147</v>
      </c>
      <c r="L94">
        <v>4</v>
      </c>
      <c r="M94" t="str">
        <f>IF(SalairesDecembre2021="","",SalairesDecembre2021)</f>
        <v/>
      </c>
      <c r="N94" t="str">
        <f>IF(SalairesJanvier2022="","",SalairesJanvier2022)</f>
        <v/>
      </c>
      <c r="O94" t="str">
        <f>IF(SalairesFevrier2022="","",SalairesFevrier2022)</f>
        <v/>
      </c>
      <c r="P94" t="str">
        <f>IF(SalairesMars2022="","",SalairesMars2022)</f>
        <v/>
      </c>
    </row>
    <row r="95" spans="11:16">
      <c r="K95" t="s">
        <v>265</v>
      </c>
      <c r="L95">
        <v>5</v>
      </c>
      <c r="M95" t="str">
        <f>IF(ChargesSocialeDecembre2021="","",ChargesSocialeDecembre2021)</f>
        <v/>
      </c>
      <c r="N95" t="str">
        <f>IF(ChargesSocialeJanvier22="","",ChargesSocialeJanvier22)</f>
        <v/>
      </c>
      <c r="O95" t="str">
        <f>IF(ChargesSocialeFevrier2022="","",ChargesSocialeFevrier2022)</f>
        <v/>
      </c>
      <c r="P95" t="str">
        <f>IF(ChargesSocialeMars2022="","",ChargesSocialeMars2022)</f>
        <v/>
      </c>
    </row>
    <row r="96" spans="11:16">
      <c r="K96" t="s">
        <v>266</v>
      </c>
      <c r="L96">
        <v>6</v>
      </c>
      <c r="M96" t="str">
        <f>IF(AssuranceDecembre2021="","",AssuranceDecembre2021)</f>
        <v/>
      </c>
      <c r="N96" t="str">
        <f>IF(AssuranceJanvier2022="","",AssuranceJanvier2022)</f>
        <v/>
      </c>
      <c r="O96" t="str">
        <f>IF(AssuranceFevrier2022="","",AssuranceFevrier2022)</f>
        <v/>
      </c>
      <c r="P96" t="str">
        <f>IF(AssuranceMars2022="","",AssuranceMars2022)</f>
        <v/>
      </c>
    </row>
    <row r="97" spans="11:16" ht="15.75" thickBot="1">
      <c r="K97" s="123" t="s">
        <v>267</v>
      </c>
      <c r="L97">
        <v>7</v>
      </c>
      <c r="M97" t="str">
        <f>IF(AutresChargesDecembre2021="","",AutresChargesDecembre2021)</f>
        <v/>
      </c>
      <c r="N97" t="str">
        <f>IF(AutresChargesJanvier2022="","",AutresChargesJanvier2022)</f>
        <v/>
      </c>
      <c r="O97" t="str">
        <f>IF(AutresChargesFevrier2022="","",AutresChargesFevrier2022)</f>
        <v/>
      </c>
      <c r="P97" t="str">
        <f>IF(AutresChargesMars2022="","",AutresChargesMars2022)</f>
        <v/>
      </c>
    </row>
    <row r="98" spans="11:16">
      <c r="K98" t="s">
        <v>271</v>
      </c>
      <c r="L98">
        <v>8</v>
      </c>
      <c r="M98" t="str">
        <f>IF(EquipementDecembre2021="","",EquipementDecembre2021)</f>
        <v/>
      </c>
      <c r="N98" t="str">
        <f>IF(EquipementJanvier2022="","",EquipementJanvier2022)</f>
        <v/>
      </c>
      <c r="O98" t="str">
        <f>IF(EquipementFevrier2022="","",EquipementFevrier2022)</f>
        <v/>
      </c>
      <c r="P98" t="str">
        <f>IF(EquipementMars2022="","",EquipementMars2022)</f>
        <v/>
      </c>
    </row>
    <row r="99" spans="11:16">
      <c r="K99" t="s">
        <v>270</v>
      </c>
      <c r="L99">
        <v>9</v>
      </c>
      <c r="M99" t="str">
        <f>IF(VehiculesDecembre2021="","",VehiculesDecembre2021)</f>
        <v/>
      </c>
      <c r="N99" t="str">
        <f>IF(VehiculesJanvier2022="","",VehiculesJanvier2022)</f>
        <v/>
      </c>
      <c r="O99" t="str">
        <f>IF(VehiculesFevrier2022="","",VehiculesFevrier2022)</f>
        <v/>
      </c>
      <c r="P99" t="str">
        <f>IF(VehiculesMars2022="","",VehiculesMars2022)</f>
        <v/>
      </c>
    </row>
    <row r="100" spans="11:16">
      <c r="K100" t="s">
        <v>269</v>
      </c>
      <c r="L100">
        <v>10</v>
      </c>
      <c r="M100" t="str">
        <f>IF(InformatiqueDecembre2021="","",InformatiqueDecembre2021)</f>
        <v/>
      </c>
      <c r="N100" t="str">
        <f>IF(InformatiqueJanvier2022="","",InformatiqueJanvier2022)</f>
        <v/>
      </c>
      <c r="O100" t="str">
        <f>IF(InformatiqueFevrier2022="","",InformatiqueFevrier2022)</f>
        <v/>
      </c>
      <c r="P100" t="str">
        <f>IF(InformatiqueMars2022="","",InformatiqueMars2022)</f>
        <v/>
      </c>
    </row>
    <row r="101" spans="11:16" ht="15.75" thickBot="1">
      <c r="K101" s="123" t="s">
        <v>268</v>
      </c>
      <c r="L101">
        <v>11</v>
      </c>
      <c r="M101" t="str">
        <f>IF(AutreMensualiteDecembre2021="","",AutreMensualiteDecembre2021)</f>
        <v/>
      </c>
      <c r="N101" t="str">
        <f>IF(AutreMensualitejanvier2022="","",AutreMensualitejanvier2022)</f>
        <v/>
      </c>
      <c r="O101" t="str">
        <f>IF(AutreMensualiteFevrier2022="","",AutreMensualiteFevrier2022)</f>
        <v/>
      </c>
      <c r="P101" t="str">
        <f>IF(AutreMensualiteMars2022="","",AutreMensualiteMars2022)</f>
        <v/>
      </c>
    </row>
    <row r="102" spans="11:16">
      <c r="K102" t="s">
        <v>272</v>
      </c>
      <c r="L102">
        <v>12</v>
      </c>
      <c r="M102" t="str">
        <f>IF(LoyerDecembre2021="","",LoyerDecembre2021)</f>
        <v/>
      </c>
      <c r="N102" t="str">
        <f>IF(LoyerJanvier2022="","",LoyerJanvier2022)</f>
        <v/>
      </c>
      <c r="O102" t="str">
        <f>IF(LoyerFevrier2022="","",LoyerFevrier2022)</f>
        <v/>
      </c>
      <c r="P102" t="str">
        <f>IF(LoyerMars2022="","",LoyerMars2022)</f>
        <v/>
      </c>
    </row>
    <row r="103" spans="11:16">
      <c r="K103" t="s">
        <v>273</v>
      </c>
      <c r="L103">
        <v>13</v>
      </c>
      <c r="M103" t="str">
        <f>IF(ChargesAccessoiresDecembre2021="","",ChargesAccessoiresDecembre2021)</f>
        <v/>
      </c>
      <c r="N103" t="str">
        <f>IF(ChargesAccessoiresJanvier2022="","",ChargesAccessoiresJanvier2022)</f>
        <v/>
      </c>
      <c r="O103" t="str">
        <f>IF(ChargesAccessoiresFevrier2022="","",ChargesAccessoiresFevrier2022)</f>
        <v/>
      </c>
      <c r="P103" t="str">
        <f>IF(ChargesAccessoiresMars2022="","",ChargesAccessoiresMars2022)</f>
        <v/>
      </c>
    </row>
    <row r="104" spans="11:16">
      <c r="K104" t="s">
        <v>274</v>
      </c>
      <c r="L104">
        <v>14</v>
      </c>
      <c r="M104" t="str">
        <f>IF(ElectriciteDecembre2021="","",ElectriciteDecembre2021)</f>
        <v/>
      </c>
      <c r="N104" t="str">
        <f>IF(ElectriciteJanvier2022="","",ElectriciteJanvier2022)</f>
        <v/>
      </c>
      <c r="O104" t="str">
        <f>IF(ElectriciteFevrier2022="","",ElectriciteFevrier2022)</f>
        <v/>
      </c>
      <c r="P104" t="str">
        <f>IF(ElectriciteMars2022="","",ElectriciteMars2022)</f>
        <v/>
      </c>
    </row>
    <row r="105" spans="11:16">
      <c r="K105" t="s">
        <v>90</v>
      </c>
      <c r="L105">
        <v>15</v>
      </c>
      <c r="M105" t="str">
        <f>IF(ChauffageDecembre2021="","",ChauffageDecembre2021)</f>
        <v/>
      </c>
      <c r="N105" t="str">
        <f>IF(ChauffageJanvier2022="","",ChauffageJanvier2022)</f>
        <v/>
      </c>
      <c r="O105" t="str">
        <f>IF(ChauffageFevrier2022="","",ChauffageFevrier2022)</f>
        <v/>
      </c>
      <c r="P105" t="str">
        <f>IF(ChauffageMars2022="","",ChauffageMars2022)</f>
        <v/>
      </c>
    </row>
    <row r="106" spans="11:16">
      <c r="K106" t="s">
        <v>91</v>
      </c>
      <c r="L106">
        <v>16</v>
      </c>
      <c r="M106" t="str">
        <f>IF(NettoyageDecembre2021="","",NettoyageDecembre2021)</f>
        <v/>
      </c>
      <c r="N106" t="str">
        <f>IF(NettoyageJanvier2022="","",NettoyageJanvier2022)</f>
        <v/>
      </c>
      <c r="O106" t="str">
        <f>IF(NettoyageFevrier2022="","",NettoyageFevrier2022)</f>
        <v/>
      </c>
      <c r="P106" t="str">
        <f>IF(NettoyageMars2022="","",NettoyageMars2022)</f>
        <v/>
      </c>
    </row>
    <row r="107" spans="11:16">
      <c r="K107" t="s">
        <v>275</v>
      </c>
      <c r="L107">
        <v>17</v>
      </c>
      <c r="M107" t="str">
        <f>IF(SecuriteDecembre2021="","",SecuriteDecembre2021)</f>
        <v/>
      </c>
      <c r="N107" t="str">
        <f>IF(SecuriteJanvier2022="","",SecuriteJanvier2022)</f>
        <v/>
      </c>
      <c r="O107" t="str">
        <f>IF(SecuriteFevrier2022="","",SecuriteFevrier2022)</f>
        <v/>
      </c>
      <c r="P107" t="str">
        <f>IF(SecuriteMars2022="","",SecuriteMars2022)</f>
        <v/>
      </c>
    </row>
    <row r="108" spans="11:16" ht="15.75" thickBot="1">
      <c r="K108" s="123" t="s">
        <v>276</v>
      </c>
      <c r="L108">
        <v>18</v>
      </c>
      <c r="M108" t="str">
        <f>IF(AutreLocauxDecembre2021="","",AutreLocauxDecembre2021)</f>
        <v/>
      </c>
      <c r="N108" t="str">
        <f>IF(AutreLocauxJanvier2022="","",AutreLocauxJanvier2022)</f>
        <v/>
      </c>
      <c r="O108" t="str">
        <f>IF(AutreLocauxFevrier2022="","",AutreLocauxFevrier2022)</f>
        <v/>
      </c>
      <c r="P108" t="str">
        <f>IF(AutreLocauxMars2022="","",AutreLocauxMars2022)</f>
        <v/>
      </c>
    </row>
    <row r="109" spans="11:16">
      <c r="K109" t="s">
        <v>277</v>
      </c>
      <c r="L109">
        <v>19</v>
      </c>
      <c r="M109" t="str">
        <f>IF(TaxesDecembre2021="","",TaxesDecembre2021)</f>
        <v/>
      </c>
      <c r="N109" t="str">
        <f>IF(TaxesJanvier2022="","",TaxesJanvier2022)</f>
        <v/>
      </c>
      <c r="O109" t="str">
        <f>IF(TaxesFevrier2022="","",TaxesFevrier2022)</f>
        <v/>
      </c>
      <c r="P109" t="str">
        <f>IF(TaxesMars2022="","",TaxesMars2022)</f>
        <v/>
      </c>
    </row>
    <row r="110" spans="11:16">
      <c r="K110" t="s">
        <v>278</v>
      </c>
      <c r="L110">
        <v>20</v>
      </c>
      <c r="M110" t="str">
        <f>IF(PatenteDecembre2021="","",PatenteDecembre2021)</f>
        <v/>
      </c>
      <c r="N110" t="str">
        <f>IF(PatenteJanvier2022="","",PatenteJanvier2022)</f>
        <v/>
      </c>
      <c r="O110" t="str">
        <f>IF(PatenteFevrier2022="","",PatenteFevrier2022)</f>
        <v/>
      </c>
      <c r="P110" t="str">
        <f>IF(PatenteMars2022="","",PatenteMars2022)</f>
        <v/>
      </c>
    </row>
    <row r="111" spans="11:16" ht="15.75" thickBot="1">
      <c r="K111" s="123" t="s">
        <v>279</v>
      </c>
      <c r="L111">
        <v>21</v>
      </c>
      <c r="M111" t="str">
        <f>IF(AutreTaxesDecembre2021="","",AutreTaxesDecembre2021)</f>
        <v/>
      </c>
      <c r="N111" t="str">
        <f>IF(AutreTaxesJanvier2022="","",AutreTaxesJanvier2022)</f>
        <v/>
      </c>
      <c r="O111" t="str">
        <f>IF(AutreTaxesFevrier2022="","",AutreTaxesFevrier2022)</f>
        <v/>
      </c>
      <c r="P111" t="str">
        <f>IF(AutreTaxesMars2022="","",AutreTaxesMars2022)</f>
        <v/>
      </c>
    </row>
    <row r="112" spans="11:16">
      <c r="K112" t="s">
        <v>280</v>
      </c>
      <c r="L112">
        <v>22</v>
      </c>
      <c r="M112" t="str">
        <f>IF(ContratDecembre2021="","",ContratDecembre2021)</f>
        <v/>
      </c>
      <c r="N112" t="str">
        <f>IF(ContratJanvier2022="","",ContratJanvier2022)</f>
        <v/>
      </c>
      <c r="O112" t="str">
        <f>IF(ContratFevrier2022="","",ContratFevrier2022)</f>
        <v/>
      </c>
      <c r="P112" t="str">
        <f>IF(ContratMars2022="","",ContratMars2022)</f>
        <v/>
      </c>
    </row>
    <row r="113" spans="11:16" ht="15.75" thickBot="1">
      <c r="K113" s="123" t="s">
        <v>281</v>
      </c>
      <c r="L113">
        <v>23</v>
      </c>
      <c r="M113" t="str">
        <f>IF(AutreEntretienDecembre2021="","",AutreEntretienDecembre2021)</f>
        <v/>
      </c>
      <c r="N113" t="str">
        <f>IF(AutreEntretienJanvier2022="","",AutreEntretienJanvier2022)</f>
        <v/>
      </c>
      <c r="O113" t="str">
        <f>IF(AutreEntretienFevrier2022="","",AutreEntretienFevrier2022)</f>
        <v/>
      </c>
      <c r="P113" t="str">
        <f>IF(AutreEntretienMars2022="","",AutreEntretienMars2022)</f>
        <v/>
      </c>
    </row>
    <row r="114" spans="11:16">
      <c r="K114" t="s">
        <v>282</v>
      </c>
      <c r="L114">
        <v>24</v>
      </c>
      <c r="M114" t="str">
        <f>IF(AssuranceVehiculeDecembre2021="","",AssuranceVehiculeDecembre2021)</f>
        <v/>
      </c>
      <c r="N114" t="str">
        <f>IF(AssuranceVehiculeJanvier2022="","",AssuranceVehiculeJanvier2022)</f>
        <v/>
      </c>
      <c r="O114" t="str">
        <f>IF(AssuranceVehiculeFevrier2022="","",AssuranceVehiculeFevrier2022)</f>
        <v/>
      </c>
      <c r="P114" t="str">
        <f>IF(AssuranceVehiculeMars2022="","",AssuranceVehiculeMars2022)</f>
        <v/>
      </c>
    </row>
    <row r="115" spans="11:16">
      <c r="K115" t="s">
        <v>283</v>
      </c>
      <c r="L115">
        <v>25</v>
      </c>
      <c r="M115" t="str">
        <f>IF(TaxesVehiculeDecembre2021="","",TaxesVehiculeDecembre2021)</f>
        <v/>
      </c>
      <c r="N115" t="str">
        <f>IF(TaxesVehiculeJanvier2022="","",TaxesVehiculeJanvier2022)</f>
        <v/>
      </c>
      <c r="O115" t="str">
        <f>IF(TaxesVehiculeFevrier2022="","",TaxesVehiculeFevrier2022)</f>
        <v/>
      </c>
      <c r="P115" t="str">
        <f>IF(TaxesVehiculeMars2022="","",TaxesVehiculeMars2022)</f>
        <v/>
      </c>
    </row>
    <row r="116" spans="11:16" ht="15.75" thickBot="1">
      <c r="K116" s="123" t="s">
        <v>284</v>
      </c>
      <c r="L116">
        <v>26</v>
      </c>
      <c r="M116" t="str">
        <f>IF(AutreVehiculeDecembre2021="","",AutreVehiculeDecembre2021)</f>
        <v/>
      </c>
      <c r="N116" t="str">
        <f>IF(AutreVehiculeJanvier2022="","",AutreVehiculeJanvier2022)</f>
        <v/>
      </c>
      <c r="O116" t="str">
        <f>IF(AutreVehiculeFevrier2022="","",AutreVehiculeFevrier2022)</f>
        <v/>
      </c>
      <c r="P116" t="str">
        <f>IF(AutreVehiculeMars2022="","",AutreVehiculeMars2022)</f>
        <v/>
      </c>
    </row>
    <row r="117" spans="11:16">
      <c r="K117" t="s">
        <v>285</v>
      </c>
      <c r="L117">
        <v>27</v>
      </c>
      <c r="M117" t="str">
        <f>IF(IncendieDecembre2021="","",IncendieDecembre2021)</f>
        <v/>
      </c>
      <c r="N117" t="str">
        <f>IF(IncendieJanvier2022="","",IncendieJanvier2022)</f>
        <v/>
      </c>
      <c r="O117" t="str">
        <f>IF(IncendieFevrier2022="","",IncendieFevrier2022)</f>
        <v/>
      </c>
      <c r="P117" t="str">
        <f>IF(IncendieMars2022="","",IncendieMars2022)</f>
        <v/>
      </c>
    </row>
    <row r="118" spans="11:16">
      <c r="K118" t="s">
        <v>102</v>
      </c>
      <c r="L118">
        <v>28</v>
      </c>
      <c r="M118" t="str">
        <f>IF(ChosesDecembre2021="","",ChosesDecembre2021)</f>
        <v/>
      </c>
      <c r="N118" t="str">
        <f>IF(ChosesJanvier2022="","",ChosesJanvier2022)</f>
        <v/>
      </c>
      <c r="O118" t="str">
        <f>IF(ChosesFevrier2022="","",ChosesFevrier2022)</f>
        <v/>
      </c>
      <c r="P118" t="str">
        <f>IF(ChosesMars2022="","",ChosesMars2022)</f>
        <v/>
      </c>
    </row>
    <row r="119" spans="11:16">
      <c r="K119" t="s">
        <v>286</v>
      </c>
      <c r="L119">
        <v>29</v>
      </c>
      <c r="M119" t="str">
        <f>IF(ResponsabiliteDecembre2021="","",ResponsabiliteDecembre2021)</f>
        <v/>
      </c>
      <c r="N119" t="str">
        <f>IF(ResponsabiliteJanvier2022="","",ResponsabiliteJanvier2022)</f>
        <v/>
      </c>
      <c r="O119" t="str">
        <f>IF(ResponsabiliteFevrier2022="","",ResponsabiliteFevrier2022)</f>
        <v/>
      </c>
      <c r="P119" t="str">
        <f>IF(ResponsabiliteMars2022="","",ResponsabiliteMars2022)</f>
        <v/>
      </c>
    </row>
    <row r="120" spans="11:16">
      <c r="K120" t="s">
        <v>287</v>
      </c>
      <c r="L120">
        <v>30</v>
      </c>
      <c r="M120" t="str">
        <f>IF(ExploitationDecembre2021="","",ExploitationDecembre2021)</f>
        <v/>
      </c>
      <c r="N120" t="str">
        <f>IF(ExploitationJanvier2022="","",ExploitationJanvier2022)</f>
        <v/>
      </c>
      <c r="O120" t="str">
        <f>IF(ExploitationFevrier2022="","",ExploitationFevrier2022)</f>
        <v/>
      </c>
      <c r="P120" t="str">
        <f>IF(ExploitationMars2022="","",ExploitationMars2022)</f>
        <v/>
      </c>
    </row>
    <row r="121" spans="11:16">
      <c r="K121" t="s">
        <v>288</v>
      </c>
      <c r="L121">
        <v>31</v>
      </c>
      <c r="M121" t="str">
        <f>IF(ProtectionDecembre2021="","",ProtectionDecembre2021)</f>
        <v/>
      </c>
      <c r="N121" t="str">
        <f>IF(ProtectionJanvier2022="","",ProtectionJanvier2022)</f>
        <v/>
      </c>
      <c r="O121" t="str">
        <f>IF(ProtectionFevrier2022="","",ProtectionFevrier2022)</f>
        <v/>
      </c>
      <c r="P121" t="str">
        <f>IF(ProtectionMars2022="","",ProtectionMars2022)</f>
        <v/>
      </c>
    </row>
    <row r="122" spans="11:16" ht="15.75" thickBot="1">
      <c r="K122" s="123" t="s">
        <v>289</v>
      </c>
      <c r="L122">
        <v>32</v>
      </c>
      <c r="M122" t="str">
        <f>IF(AutreAssuranceDecembre2021="","",AutreAssuranceDecembre2021)</f>
        <v/>
      </c>
      <c r="N122" t="str">
        <f>IF(AutreAssuranceJanvier2022="","",AutreAssuranceJanvier2022)</f>
        <v/>
      </c>
      <c r="O122" t="str">
        <f>IF(AutreAssuranceFevrier2022="","",AutreAssuranceFevrier2022)</f>
        <v/>
      </c>
      <c r="P122" t="str">
        <f>IF(AutreAssuranceMars2022="","",AutreAssuranceMars2022)</f>
        <v/>
      </c>
    </row>
    <row r="123" spans="11:16">
      <c r="K123" t="s">
        <v>290</v>
      </c>
      <c r="L123">
        <v>33</v>
      </c>
      <c r="M123" t="str">
        <f>IF(TelephoneDecembre2021="","",TelephoneDecembre2021)</f>
        <v/>
      </c>
      <c r="N123" t="str">
        <f>IF(TelephoneJanvier2022="","",TelephoneJanvier2022)</f>
        <v/>
      </c>
      <c r="O123" t="str">
        <f>IF(TelephoneFevrier2022="","",TelephoneFevrier2022)</f>
        <v/>
      </c>
      <c r="P123" t="str">
        <f>IF(TelephoneMars2022="","",TelephoneMars2022)</f>
        <v/>
      </c>
    </row>
    <row r="124" spans="11:16">
      <c r="K124" t="s">
        <v>107</v>
      </c>
      <c r="L124">
        <v>34</v>
      </c>
      <c r="M124" t="str">
        <f>IF(InternetDecembre2021="","",InternetDecembre2021)</f>
        <v/>
      </c>
      <c r="N124" t="str">
        <f>IF(InternetJanvier2022="","",InternetJanvier2022)</f>
        <v/>
      </c>
      <c r="O124" t="str">
        <f>IF(InternetFevrier2022="","",InternetFevrier2022)</f>
        <v/>
      </c>
      <c r="P124" t="str">
        <f>IF(InternetMars2022="","",InternetMars2022)</f>
        <v/>
      </c>
    </row>
    <row r="125" spans="11:16">
      <c r="K125" t="s">
        <v>291</v>
      </c>
      <c r="L125">
        <v>35</v>
      </c>
      <c r="M125" t="str">
        <f>IF(CotisationDecembre2021="","",CotisationDecembre2021)</f>
        <v/>
      </c>
      <c r="N125" t="str">
        <f>IF(CotisationJanvier2022="","",CotisationJanvier2022)</f>
        <v/>
      </c>
      <c r="O125" t="str">
        <f>IF(CotisationFevrier2022="","",CotisationFevrier2022)</f>
        <v/>
      </c>
      <c r="P125" t="str">
        <f>IF(CotisationMars2022="","",CotisationMars2022)</f>
        <v/>
      </c>
    </row>
    <row r="126" spans="11:16">
      <c r="K126" t="s">
        <v>292</v>
      </c>
      <c r="L126">
        <v>36</v>
      </c>
      <c r="M126" t="str">
        <f>IF(HonoraireDecembre2021="","",HonoraireDecembre2021)</f>
        <v/>
      </c>
      <c r="N126" t="str">
        <f>IF(HonoraireJanvier2022="","",HonoraireJanvier2022)</f>
        <v/>
      </c>
      <c r="O126" t="str">
        <f>IF(HonoraireFevrier2022="","",HonoraireFevrier2022)</f>
        <v/>
      </c>
      <c r="P126" t="str">
        <f>IF(HonoraireMars2022="","",HonoraireMars2022)</f>
        <v/>
      </c>
    </row>
    <row r="127" spans="11:16">
      <c r="K127" t="s">
        <v>293</v>
      </c>
      <c r="L127">
        <v>37</v>
      </c>
      <c r="M127" t="str">
        <f>IF(FraisInfoDecembre2021="","",FraisInfoDecembre2021)</f>
        <v/>
      </c>
      <c r="N127" t="str">
        <f>IF(FraisInfoJanvier2022="","",FraisInfoJanvier2022)</f>
        <v/>
      </c>
      <c r="O127" t="str">
        <f>IF(FraisInfoFevrier2022="","",FraisInfoFevrier2022)</f>
        <v/>
      </c>
      <c r="P127" t="str">
        <f>IF(FraisInfoMars2022="","",FraisInfoMars2022)</f>
        <v/>
      </c>
    </row>
    <row r="128" spans="11:16">
      <c r="K128" t="s">
        <v>294</v>
      </c>
      <c r="L128">
        <v>38</v>
      </c>
      <c r="M128" t="str">
        <f>IF(CopieurDecembre2021="","",CopieurDecembre2021)</f>
        <v/>
      </c>
      <c r="N128" t="str">
        <f>IF(CopieurJanvier2022="","",CopieurJanvier2022)</f>
        <v/>
      </c>
      <c r="O128" t="str">
        <f>IF(CopieurFevrier2022="","",CopieurFevrier2022)</f>
        <v/>
      </c>
      <c r="P128" t="str">
        <f>IF(CopieurMars2022="","",CopieurMars2022)</f>
        <v/>
      </c>
    </row>
    <row r="129" spans="11:16" ht="15.75" thickBot="1">
      <c r="K129" s="123" t="s">
        <v>295</v>
      </c>
      <c r="L129">
        <v>39</v>
      </c>
      <c r="M129" t="str">
        <f>IF(AutreFraisDecembre2021="","",AutreFraisDecembre2021)</f>
        <v/>
      </c>
      <c r="N129" t="str">
        <f>IF(AutreFraisJanvier2022="","",AutreFraisJanvier2022)</f>
        <v/>
      </c>
      <c r="O129" t="str">
        <f>IF(AutreFraisFevrier2022="","",AutreFraisFevrier2022)</f>
        <v/>
      </c>
      <c r="P129" t="str">
        <f>IF(AutreFraisMars2022="","",AutreFraisMars2022)</f>
        <v/>
      </c>
    </row>
    <row r="130" spans="11:16">
      <c r="K130" t="s">
        <v>296</v>
      </c>
      <c r="L130">
        <v>40</v>
      </c>
      <c r="M130" t="str">
        <f>IF(FraisContratDecembre2021="","",FraisContratDecembre2021)</f>
        <v/>
      </c>
      <c r="N130" t="str">
        <f>IF(FraisContratJanvier2022="","",FraisContratJanvier2022)</f>
        <v/>
      </c>
      <c r="O130" t="str">
        <f>IF(FraisContratFevrier2022="","",FraisContratFevrier2022)</f>
        <v/>
      </c>
      <c r="P130" t="str">
        <f>IF(FraisContratMars2022="","",FraisContratMars2022)</f>
        <v/>
      </c>
    </row>
    <row r="131" spans="11:16" ht="15.75" thickBot="1">
      <c r="K131" s="123" t="s">
        <v>297</v>
      </c>
      <c r="L131">
        <v>41</v>
      </c>
      <c r="M131" t="str">
        <f>IF(AutrePubDecembre2021="","",AutrePubDecembre2021)</f>
        <v/>
      </c>
      <c r="N131" t="str">
        <f>IF(AutrePubJanvier2022="","",AutrePubJanvier2022)</f>
        <v/>
      </c>
      <c r="O131" t="str">
        <f>IF(AutrePubFevrier2022="","",AutrePubFevrier2022)</f>
        <v/>
      </c>
      <c r="P131" t="str">
        <f>IF(AutrePubMars2022="","",AutrePubMars2022)</f>
        <v/>
      </c>
    </row>
    <row r="132" spans="11:16">
      <c r="K132" t="s">
        <v>300</v>
      </c>
      <c r="L132">
        <v>42</v>
      </c>
      <c r="M132" t="str">
        <f>IF(InteretFraisDecembre2021="","",InteretFraisDecembre2021)</f>
        <v/>
      </c>
      <c r="N132" t="str">
        <f>IF(InteretFraisJanvier2022="","",InteretFraisJanvier2022)</f>
        <v/>
      </c>
      <c r="O132" t="str">
        <f>IF(InteretFraisFevrier2022="","",InteretFraisFevrier2022)</f>
        <v/>
      </c>
      <c r="P132" t="str">
        <f>IF(InteretFraisMars2022="","",InteretFraisMars2022)</f>
        <v/>
      </c>
    </row>
    <row r="133" spans="11:16">
      <c r="K133" t="s">
        <v>298</v>
      </c>
      <c r="L133">
        <v>43</v>
      </c>
      <c r="M133" t="e">
        <f>IF(AmortissementDecembre2021="","",AmortissementDecembre2021)</f>
        <v>#REF!</v>
      </c>
      <c r="N133" t="e">
        <f>IF(AmortissementJanvier2022="","",AmortissementJanvier2022)</f>
        <v>#REF!</v>
      </c>
      <c r="O133" t="e">
        <f>IF(AmortissementFevrier2022="","",AmortissementFevrier2022)</f>
        <v>#REF!</v>
      </c>
      <c r="P133" t="e">
        <f>IF(AmortissementMars2022="","",AmortissementMars2022)</f>
        <v>#REF!</v>
      </c>
    </row>
    <row r="134" spans="11:16" ht="15.75" thickBot="1">
      <c r="K134" s="123" t="s">
        <v>299</v>
      </c>
      <c r="L134">
        <v>44</v>
      </c>
      <c r="M134" t="str">
        <f>IF(AutreFinanceDecembre2021="","",AutreFinanceDecembre2021)</f>
        <v/>
      </c>
      <c r="N134" t="str">
        <f>IF(AutreFinanceJanvier2022="","",AutreFinanceJanvier2022)</f>
        <v/>
      </c>
      <c r="O134" t="str">
        <f>IF(AutreFinanceFevrier2022="","",AutreFinanceFevrier2022)</f>
        <v/>
      </c>
      <c r="P134" t="str">
        <f>IF(AutreFinanceMars2022="","",AutreFinanceMars2022)</f>
        <v/>
      </c>
    </row>
  </sheetData>
  <phoneticPr fontId="42" type="noConversion"/>
  <pageMargins left="0.7" right="0.7" top="0.75" bottom="0.75" header="0.3" footer="0.3"/>
  <pageSetup paperSize="9" orientation="portrait" r:id="rId1"/>
  <ignoredErrors>
    <ignoredError sqref="N10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G3" sqref="G3"/>
    </sheetView>
  </sheetViews>
  <sheetFormatPr baseColWidth="10" defaultRowHeight="15"/>
  <cols>
    <col min="1" max="1" width="19.42578125" customWidth="1"/>
    <col min="3" max="3" width="24.42578125" customWidth="1"/>
    <col min="5" max="5" width="30.28515625" customWidth="1"/>
    <col min="7" max="7" width="32.5703125" customWidth="1"/>
  </cols>
  <sheetData>
    <row r="1" spans="1:11">
      <c r="A1" t="s">
        <v>14</v>
      </c>
      <c r="C1" t="s">
        <v>3</v>
      </c>
      <c r="E1" t="s">
        <v>52</v>
      </c>
      <c r="G1" t="s">
        <v>114</v>
      </c>
      <c r="I1" t="s">
        <v>116</v>
      </c>
      <c r="K1" t="s">
        <v>304</v>
      </c>
    </row>
    <row r="2" spans="1:11">
      <c r="A2" s="2" t="s">
        <v>15</v>
      </c>
      <c r="C2" s="2" t="s">
        <v>23</v>
      </c>
      <c r="E2" s="54" t="s">
        <v>59</v>
      </c>
      <c r="G2" t="s">
        <v>110</v>
      </c>
      <c r="K2" t="s">
        <v>305</v>
      </c>
    </row>
    <row r="3" spans="1:11">
      <c r="A3" t="s">
        <v>16</v>
      </c>
      <c r="C3" t="s">
        <v>21</v>
      </c>
      <c r="E3" s="54" t="s">
        <v>53</v>
      </c>
      <c r="G3" t="s">
        <v>109</v>
      </c>
      <c r="I3" t="s">
        <v>117</v>
      </c>
      <c r="K3" t="s">
        <v>306</v>
      </c>
    </row>
    <row r="4" spans="1:11">
      <c r="A4" t="s">
        <v>17</v>
      </c>
      <c r="C4" t="s">
        <v>22</v>
      </c>
      <c r="E4" s="54" t="s">
        <v>65</v>
      </c>
    </row>
    <row r="5" spans="1:11">
      <c r="A5" t="s">
        <v>18</v>
      </c>
      <c r="C5" t="s">
        <v>40</v>
      </c>
      <c r="E5" s="54" t="s">
        <v>62</v>
      </c>
    </row>
    <row r="6" spans="1:11">
      <c r="A6" t="s">
        <v>19</v>
      </c>
      <c r="E6" s="54" t="s">
        <v>55</v>
      </c>
    </row>
    <row r="7" spans="1:11">
      <c r="A7" t="s">
        <v>20</v>
      </c>
      <c r="E7" s="54" t="s">
        <v>64</v>
      </c>
    </row>
    <row r="8" spans="1:11">
      <c r="E8" s="54" t="s">
        <v>60</v>
      </c>
    </row>
    <row r="9" spans="1:11">
      <c r="E9" s="54" t="s">
        <v>58</v>
      </c>
    </row>
    <row r="10" spans="1:11">
      <c r="E10" s="54" t="s">
        <v>302</v>
      </c>
    </row>
    <row r="11" spans="1:11">
      <c r="E11" s="54" t="s">
        <v>57</v>
      </c>
    </row>
    <row r="12" spans="1:11">
      <c r="E12" s="54" t="s">
        <v>54</v>
      </c>
    </row>
    <row r="13" spans="1:11">
      <c r="E13" s="54" t="s">
        <v>63</v>
      </c>
    </row>
    <row r="14" spans="1:11">
      <c r="E14" s="54" t="s">
        <v>56</v>
      </c>
    </row>
    <row r="15" spans="1:11">
      <c r="E15" s="54" t="s">
        <v>61</v>
      </c>
    </row>
    <row r="16" spans="1:11">
      <c r="E16" t="s">
        <v>303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261</vt:i4>
      </vt:variant>
    </vt:vector>
  </HeadingPairs>
  <TitlesOfParts>
    <vt:vector size="264" baseType="lpstr">
      <vt:lpstr>Formulaire</vt:lpstr>
      <vt:lpstr>Output</vt:lpstr>
      <vt:lpstr>Liste</vt:lpstr>
      <vt:lpstr>Activite</vt:lpstr>
      <vt:lpstr>AssuranceDecembre2021</vt:lpstr>
      <vt:lpstr>AssuranceFevrier2022</vt:lpstr>
      <vt:lpstr>AssuranceJanvier2022</vt:lpstr>
      <vt:lpstr>AssuranceMars2022</vt:lpstr>
      <vt:lpstr>AssuranceVehiculeDecembre2021</vt:lpstr>
      <vt:lpstr>AssuranceVehiculeFevrier2022</vt:lpstr>
      <vt:lpstr>AssuranceVehiculeJanvier2022</vt:lpstr>
      <vt:lpstr>AssuranceVehiculeMars2022</vt:lpstr>
      <vt:lpstr>AutreAssuranceDecembre2021</vt:lpstr>
      <vt:lpstr>AutreAssuranceFevrier2022</vt:lpstr>
      <vt:lpstr>AutreAssuranceJanvier2022</vt:lpstr>
      <vt:lpstr>AutreAssuranceMars2022</vt:lpstr>
      <vt:lpstr>AutreEntretienDecembre2021</vt:lpstr>
      <vt:lpstr>AutreEntretienFevrier2022</vt:lpstr>
      <vt:lpstr>AutreEntretienJanvier2022</vt:lpstr>
      <vt:lpstr>AutreEntretienMars2022</vt:lpstr>
      <vt:lpstr>AutreFinanceDecembre2021</vt:lpstr>
      <vt:lpstr>AutreFinanceFevrier2022</vt:lpstr>
      <vt:lpstr>AutreFinanceJanvier2022</vt:lpstr>
      <vt:lpstr>AutreFinanceMars2022</vt:lpstr>
      <vt:lpstr>AutreFormeJuridique</vt:lpstr>
      <vt:lpstr>AutreFraisAchatDecembre2021</vt:lpstr>
      <vt:lpstr>AutreFraisAchatFevrier2022</vt:lpstr>
      <vt:lpstr>AutreFraisAchatJanvier2022</vt:lpstr>
      <vt:lpstr>AutreFraisAchatMars2022</vt:lpstr>
      <vt:lpstr>AutreFraisDecembre2021</vt:lpstr>
      <vt:lpstr>AutreFraisFevrier2022</vt:lpstr>
      <vt:lpstr>AutreFraisJanvier2022</vt:lpstr>
      <vt:lpstr>AutreFraisMars2022</vt:lpstr>
      <vt:lpstr>AutreLocauxDecembre2021</vt:lpstr>
      <vt:lpstr>AutreLocauxFevrier2022</vt:lpstr>
      <vt:lpstr>AutreLocauxJanvier2022</vt:lpstr>
      <vt:lpstr>AutreLocauxMars2022</vt:lpstr>
      <vt:lpstr>AutreMensualiteDecembre2021</vt:lpstr>
      <vt:lpstr>AutreMensualiteFevrier2022</vt:lpstr>
      <vt:lpstr>AutreMensualitejanvier2022</vt:lpstr>
      <vt:lpstr>AutreMensualiteMars2022</vt:lpstr>
      <vt:lpstr>AutrePubDecembre2021</vt:lpstr>
      <vt:lpstr>AutrePubFevrier2022</vt:lpstr>
      <vt:lpstr>AutrePubJanvier2022</vt:lpstr>
      <vt:lpstr>AutrePubMars2022</vt:lpstr>
      <vt:lpstr>AutresChargesDecembre2021</vt:lpstr>
      <vt:lpstr>AutresChargesFevrier2022</vt:lpstr>
      <vt:lpstr>AutresChargesJanvier2022</vt:lpstr>
      <vt:lpstr>AutresChargesMars2022</vt:lpstr>
      <vt:lpstr>AutreTaxesDecembre2021</vt:lpstr>
      <vt:lpstr>AutreTaxesFevrier2022</vt:lpstr>
      <vt:lpstr>AutreTaxesJanvier2022</vt:lpstr>
      <vt:lpstr>AutreTaxesMars2022</vt:lpstr>
      <vt:lpstr>AutreVehiculeDecembre2021</vt:lpstr>
      <vt:lpstr>AutreVehiculeFevrier2022</vt:lpstr>
      <vt:lpstr>AutreVehiculeJanvier2022</vt:lpstr>
      <vt:lpstr>AutreVehiculeMars2022</vt:lpstr>
      <vt:lpstr>Banque</vt:lpstr>
      <vt:lpstr>BeneficeFinal2018</vt:lpstr>
      <vt:lpstr>BeneficeFinal2019</vt:lpstr>
      <vt:lpstr>CACom2018</vt:lpstr>
      <vt:lpstr>CACom2019</vt:lpstr>
      <vt:lpstr>CAComAout2020</vt:lpstr>
      <vt:lpstr>CAComAvril2020</vt:lpstr>
      <vt:lpstr>CAComAvril2021</vt:lpstr>
      <vt:lpstr>CAComDecembre2020</vt:lpstr>
      <vt:lpstr>CAComFevrier2020</vt:lpstr>
      <vt:lpstr>CAComFevrier2021</vt:lpstr>
      <vt:lpstr>CAComJanvier2020</vt:lpstr>
      <vt:lpstr>CAComJanvier2021</vt:lpstr>
      <vt:lpstr>CAComJuillet2020</vt:lpstr>
      <vt:lpstr>CAComJuin2020</vt:lpstr>
      <vt:lpstr>CAComJuin2021</vt:lpstr>
      <vt:lpstr>CAComMai2020</vt:lpstr>
      <vt:lpstr>CAComMai2021</vt:lpstr>
      <vt:lpstr>CAComMars2020</vt:lpstr>
      <vt:lpstr>CAComMars2021</vt:lpstr>
      <vt:lpstr>CAComNovembre2020</vt:lpstr>
      <vt:lpstr>CAComOctobre2020</vt:lpstr>
      <vt:lpstr>CAComRevenuDecembre2021</vt:lpstr>
      <vt:lpstr>CAComRevenuFevrier2022</vt:lpstr>
      <vt:lpstr>CAComRevenuJanvier2022</vt:lpstr>
      <vt:lpstr>CAComRevenuMars2022</vt:lpstr>
      <vt:lpstr>CAComSecteur2018</vt:lpstr>
      <vt:lpstr>CAComSecteur2019</vt:lpstr>
      <vt:lpstr>CAComSeptembre2020</vt:lpstr>
      <vt:lpstr>Cas_2</vt:lpstr>
      <vt:lpstr>Cas_3</vt:lpstr>
      <vt:lpstr>Cas_4</vt:lpstr>
      <vt:lpstr>Cas_5</vt:lpstr>
      <vt:lpstr>Cas1_1</vt:lpstr>
      <vt:lpstr>Cas1_2</vt:lpstr>
      <vt:lpstr>CCP</vt:lpstr>
      <vt:lpstr>ChargesAccessoiresDecembre2021</vt:lpstr>
      <vt:lpstr>ChargesAccessoiresFevrier2022</vt:lpstr>
      <vt:lpstr>ChargesAccessoiresJanvier2022</vt:lpstr>
      <vt:lpstr>ChargesAccessoiresMars2022</vt:lpstr>
      <vt:lpstr>ChargesAnnuelles</vt:lpstr>
      <vt:lpstr>ChargesSocialeDecembre2021</vt:lpstr>
      <vt:lpstr>ChargesSocialeFevrier2022</vt:lpstr>
      <vt:lpstr>ChargesSocialeJanvier22</vt:lpstr>
      <vt:lpstr>ChargesSocialeMars2022</vt:lpstr>
      <vt:lpstr>ChauffageDecembre2021</vt:lpstr>
      <vt:lpstr>ChauffageFevrier2022</vt:lpstr>
      <vt:lpstr>ChauffageJanvier2022</vt:lpstr>
      <vt:lpstr>ChauffageMars2022</vt:lpstr>
      <vt:lpstr>ChosesDecembre2021</vt:lpstr>
      <vt:lpstr>ChosesFevrier2022</vt:lpstr>
      <vt:lpstr>ChosesJanvier2022</vt:lpstr>
      <vt:lpstr>ChosesMars2022</vt:lpstr>
      <vt:lpstr>CodePostalContact</vt:lpstr>
      <vt:lpstr>CodePostaleEntreprise</vt:lpstr>
      <vt:lpstr>CodePostaleSiege</vt:lpstr>
      <vt:lpstr>CollaborateurBerne</vt:lpstr>
      <vt:lpstr>CollaborateurSuisse</vt:lpstr>
      <vt:lpstr>CollaborateurTotal</vt:lpstr>
      <vt:lpstr>ContratDecembre2021</vt:lpstr>
      <vt:lpstr>ContratFevrier2022</vt:lpstr>
      <vt:lpstr>ContratJanvier2022</vt:lpstr>
      <vt:lpstr>ContratMars2022</vt:lpstr>
      <vt:lpstr>CopieurDecembre2021</vt:lpstr>
      <vt:lpstr>CopieurFevrier2022</vt:lpstr>
      <vt:lpstr>CopieurJanvier2022</vt:lpstr>
      <vt:lpstr>CopieurMars2022</vt:lpstr>
      <vt:lpstr>CotisationDecembre2021</vt:lpstr>
      <vt:lpstr>CotisationFevrier2022</vt:lpstr>
      <vt:lpstr>CotisationJanvier2022</vt:lpstr>
      <vt:lpstr>CotisationMars2022</vt:lpstr>
      <vt:lpstr>DateDemande</vt:lpstr>
      <vt:lpstr>DateInscriptionRC</vt:lpstr>
      <vt:lpstr>DroitAide2021</vt:lpstr>
      <vt:lpstr>ElectriciteDecembre2021</vt:lpstr>
      <vt:lpstr>ElectriciteFevrier2022</vt:lpstr>
      <vt:lpstr>ElectriciteJanvier2022</vt:lpstr>
      <vt:lpstr>ElectriciteMars2022</vt:lpstr>
      <vt:lpstr>EquipementDecembre2021</vt:lpstr>
      <vt:lpstr>EquipementFevrier2022</vt:lpstr>
      <vt:lpstr>EquipementJanvier2022</vt:lpstr>
      <vt:lpstr>EquipementMars2022</vt:lpstr>
      <vt:lpstr>EquivalentTempsPlein</vt:lpstr>
      <vt:lpstr>ExploitationDecembre2021</vt:lpstr>
      <vt:lpstr>ExploitationFevrier2022</vt:lpstr>
      <vt:lpstr>ExploitationJanvier2022</vt:lpstr>
      <vt:lpstr>ExploitationMars2022</vt:lpstr>
      <vt:lpstr>FonctionContact</vt:lpstr>
      <vt:lpstr>FormeJuridique</vt:lpstr>
      <vt:lpstr>FraisContratDecembre2021</vt:lpstr>
      <vt:lpstr>FraisContratFevrier2022</vt:lpstr>
      <vt:lpstr>FraisContratJanvier2022</vt:lpstr>
      <vt:lpstr>FraisContratMars2022</vt:lpstr>
      <vt:lpstr>FraisInfoDecembre2021</vt:lpstr>
      <vt:lpstr>FraisInfoFevrier2022</vt:lpstr>
      <vt:lpstr>FraisInfoJanvier2022</vt:lpstr>
      <vt:lpstr>FraisInfoMars2022</vt:lpstr>
      <vt:lpstr>GCP</vt:lpstr>
      <vt:lpstr>HonoraireDecembre2021</vt:lpstr>
      <vt:lpstr>HonoraireFevrier2022</vt:lpstr>
      <vt:lpstr>HonoraireJanvier2022</vt:lpstr>
      <vt:lpstr>HonoraireMars2022</vt:lpstr>
      <vt:lpstr>Iban</vt:lpstr>
      <vt:lpstr>IDE</vt:lpstr>
      <vt:lpstr>IncendieDecembre2021</vt:lpstr>
      <vt:lpstr>IncendieFevrier2022</vt:lpstr>
      <vt:lpstr>IncendieJanvier2022</vt:lpstr>
      <vt:lpstr>IncendieMars2022</vt:lpstr>
      <vt:lpstr>InformatiqueDecembre2021</vt:lpstr>
      <vt:lpstr>InformatiqueFevrier2022</vt:lpstr>
      <vt:lpstr>InformatiqueJanvier2022</vt:lpstr>
      <vt:lpstr>InformatiqueMars2022</vt:lpstr>
      <vt:lpstr>InteretFraisDecembre2021</vt:lpstr>
      <vt:lpstr>InteretFraisFevrier2022</vt:lpstr>
      <vt:lpstr>InteretFraisJanvier2022</vt:lpstr>
      <vt:lpstr>InteretFraisMars2022</vt:lpstr>
      <vt:lpstr>InternetDecembre2021</vt:lpstr>
      <vt:lpstr>InternetFevrier2022</vt:lpstr>
      <vt:lpstr>InternetJanvier2022</vt:lpstr>
      <vt:lpstr>InternetMars2022</vt:lpstr>
      <vt:lpstr>Liste_Activite</vt:lpstr>
      <vt:lpstr>Liste_FormeJuridique</vt:lpstr>
      <vt:lpstr>Liste_Option</vt:lpstr>
      <vt:lpstr>Liste_Region</vt:lpstr>
      <vt:lpstr>Liste_Type</vt:lpstr>
      <vt:lpstr>Liste_X</vt:lpstr>
      <vt:lpstr>LocaliteContact</vt:lpstr>
      <vt:lpstr>LocaliteEntreprise</vt:lpstr>
      <vt:lpstr>LocaliteSiege</vt:lpstr>
      <vt:lpstr>LoyerDecembre2021</vt:lpstr>
      <vt:lpstr>LoyerFevrier2022</vt:lpstr>
      <vt:lpstr>LoyerJanvier2022</vt:lpstr>
      <vt:lpstr>LoyerMars2022</vt:lpstr>
      <vt:lpstr>MailContact</vt:lpstr>
      <vt:lpstr>MaterielDecembre2021</vt:lpstr>
      <vt:lpstr>MaterielFevrier2022</vt:lpstr>
      <vt:lpstr>MaterielJanvier2022</vt:lpstr>
      <vt:lpstr>MaterielMars2022</vt:lpstr>
      <vt:lpstr>MontantRevenuAPGDecembre2021</vt:lpstr>
      <vt:lpstr>MontantRevenuAPGFevrier2022</vt:lpstr>
      <vt:lpstr>MontantRevenuAPGJanvier2022</vt:lpstr>
      <vt:lpstr>MontantRevenuAPGMars2022</vt:lpstr>
      <vt:lpstr>MontantRevenuRHTDecembre2021</vt:lpstr>
      <vt:lpstr>MontantRevenuRHTFevrier2022</vt:lpstr>
      <vt:lpstr>MontantRevenuRHTJanvier2022</vt:lpstr>
      <vt:lpstr>MontantRevenuRHTMars2022</vt:lpstr>
      <vt:lpstr>NettoyageDecembre2021</vt:lpstr>
      <vt:lpstr>NettoyageFevrier2022</vt:lpstr>
      <vt:lpstr>NettoyageJanvier2022</vt:lpstr>
      <vt:lpstr>NettoyageMars2022</vt:lpstr>
      <vt:lpstr>NombreJoursFermeture</vt:lpstr>
      <vt:lpstr>NomContact</vt:lpstr>
      <vt:lpstr>NomEntreprise</vt:lpstr>
      <vt:lpstr>NumeroCompte</vt:lpstr>
      <vt:lpstr>OptionCalculdesCharges</vt:lpstr>
      <vt:lpstr>PatenteDecembre2021</vt:lpstr>
      <vt:lpstr>PatenteFevrier2022</vt:lpstr>
      <vt:lpstr>PatenteJanvier2022</vt:lpstr>
      <vt:lpstr>PatenteMars2022</vt:lpstr>
      <vt:lpstr>PortableContact</vt:lpstr>
      <vt:lpstr>PourcentageMasseSalariale</vt:lpstr>
      <vt:lpstr>PrenomContact</vt:lpstr>
      <vt:lpstr>PrestationDecembre2021</vt:lpstr>
      <vt:lpstr>PrestationFevrier2022</vt:lpstr>
      <vt:lpstr>PrestationJanvier2022</vt:lpstr>
      <vt:lpstr>PrestationMars2022</vt:lpstr>
      <vt:lpstr>ProtectionDecembre2021</vt:lpstr>
      <vt:lpstr>ProtectionFevrier2022</vt:lpstr>
      <vt:lpstr>ProtectionJanvier2022</vt:lpstr>
      <vt:lpstr>ProtectionMars2022</vt:lpstr>
      <vt:lpstr>RegionEntreprise</vt:lpstr>
      <vt:lpstr>RegionSiege</vt:lpstr>
      <vt:lpstr>ResponsabiliteDecembre2021</vt:lpstr>
      <vt:lpstr>ResponsabiliteFevrier2022</vt:lpstr>
      <vt:lpstr>ResponsabiliteJanvier2022</vt:lpstr>
      <vt:lpstr>ResponsabiliteMars2022</vt:lpstr>
      <vt:lpstr>RueContact</vt:lpstr>
      <vt:lpstr>RueEntreprise</vt:lpstr>
      <vt:lpstr>RueSiege</vt:lpstr>
      <vt:lpstr>SalairesDecembre2021</vt:lpstr>
      <vt:lpstr>SalairesFevrier2022</vt:lpstr>
      <vt:lpstr>SalairesJanvier2022</vt:lpstr>
      <vt:lpstr>SalairesMars2022</vt:lpstr>
      <vt:lpstr>SecuriteDecembre2021</vt:lpstr>
      <vt:lpstr>SecuriteFevrier2022</vt:lpstr>
      <vt:lpstr>SecuriteJanvier2022</vt:lpstr>
      <vt:lpstr>SecuriteMars2022</vt:lpstr>
      <vt:lpstr>SiteWeb</vt:lpstr>
      <vt:lpstr>TaxesDecembre2021</vt:lpstr>
      <vt:lpstr>TaxesFevrier2022</vt:lpstr>
      <vt:lpstr>TaxesJanvier2022</vt:lpstr>
      <vt:lpstr>TaxesMars2022</vt:lpstr>
      <vt:lpstr>TaxesVehiculeDecembre2021</vt:lpstr>
      <vt:lpstr>TaxesVehiculeFevrier2022</vt:lpstr>
      <vt:lpstr>TaxesVehiculeJanvier2022</vt:lpstr>
      <vt:lpstr>TaxesVehiculeMars2022</vt:lpstr>
      <vt:lpstr>TelephoneContact</vt:lpstr>
      <vt:lpstr>TelephoneDecembre2021</vt:lpstr>
      <vt:lpstr>TelephoneFevrier2022</vt:lpstr>
      <vt:lpstr>TelephoneJanvier2022</vt:lpstr>
      <vt:lpstr>TelephoneMars2022</vt:lpstr>
      <vt:lpstr>TotalFondPropre2018</vt:lpstr>
      <vt:lpstr>TotalFondPropre2019</vt:lpstr>
      <vt:lpstr>VehiculesDecembre2021</vt:lpstr>
      <vt:lpstr>VehiculesFevrier2022</vt:lpstr>
      <vt:lpstr>VehiculesJanvier2022</vt:lpstr>
      <vt:lpstr>VehiculesMars2022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Colangelo</dc:creator>
  <cp:lastModifiedBy>Hausherr Beat, WEU-AWI-FU-IE</cp:lastModifiedBy>
  <cp:lastPrinted>2022-02-24T10:43:04Z</cp:lastPrinted>
  <dcterms:created xsi:type="dcterms:W3CDTF">2020-12-02T07:11:28Z</dcterms:created>
  <dcterms:modified xsi:type="dcterms:W3CDTF">2022-04-25T07:28:29Z</dcterms:modified>
</cp:coreProperties>
</file>