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AWI\FU\IE\Internet\Bewirtschaftung\Corona\Härtefallhilfe_2.0\Excel-Formulare\2022_04_25\"/>
    </mc:Choice>
  </mc:AlternateContent>
  <bookViews>
    <workbookView xWindow="-120" yWindow="-120" windowWidth="29040" windowHeight="15840" tabRatio="346"/>
  </bookViews>
  <sheets>
    <sheet name="Formulaire" sheetId="3" r:id="rId1"/>
    <sheet name="Output" sheetId="8" state="hidden" r:id="rId2"/>
    <sheet name="Liste" sheetId="7" state="hidden" r:id="rId3"/>
  </sheets>
  <definedNames>
    <definedName name="Activite">Formulaire!$C$25</definedName>
    <definedName name="AmortissementDecembre2021">Formulaire!#REF!</definedName>
    <definedName name="AmortissementFevrier2022">Formulaire!#REF!</definedName>
    <definedName name="AmortissementJanvier2022">Formulaire!#REF!</definedName>
    <definedName name="AmortissementMars2022">Formulaire!#REF!</definedName>
    <definedName name="AssuranceDecembre2021">Formulaire!$F$93</definedName>
    <definedName name="AssuranceFevrier2022">Formulaire!$J$93</definedName>
    <definedName name="AssuranceJanvier2022">Formulaire!$H$93</definedName>
    <definedName name="AssuranceMars2022">Formulaire!$L$93</definedName>
    <definedName name="AssuranceVehiculeDecembre2021">Formulaire!$F$111</definedName>
    <definedName name="AssuranceVehiculeFevrier2022">Formulaire!$J$111</definedName>
    <definedName name="AssuranceVehiculeJanvier2022">Formulaire!$H$111</definedName>
    <definedName name="AssuranceVehiculeMars2022">Formulaire!$L$111</definedName>
    <definedName name="AutreAssuranceDecembre2021">Formulaire!$F$119</definedName>
    <definedName name="AutreAssuranceFevrier2022">Formulaire!$J$119</definedName>
    <definedName name="AutreAssuranceJanvier2022">Formulaire!$H$119</definedName>
    <definedName name="AutreAssuranceMars2022">Formulaire!$L$119</definedName>
    <definedName name="AutreEntretienDecembre2021">Formulaire!$F$110</definedName>
    <definedName name="AutreEntretienFevrier2022">Formulaire!$J$110</definedName>
    <definedName name="AutreEntretienJanvier2022">Formulaire!$H$110</definedName>
    <definedName name="AutreEntretienMars2022">Formulaire!$L$110</definedName>
    <definedName name="AutreFinanceDecembre2021">Formulaire!$F$130</definedName>
    <definedName name="AutreFinanceFevrier2022">Formulaire!$J$130</definedName>
    <definedName name="AutreFinanceJanvier2022">Formulaire!$H$130</definedName>
    <definedName name="AutreFinanceMars2022">Formulaire!$L$130</definedName>
    <definedName name="AutreFraisAchatDecembre2021">Formulaire!$F$90</definedName>
    <definedName name="AutreFraisAchatFevrier2022">Formulaire!$J$90</definedName>
    <definedName name="AutreFraisAchatJanvier2022">Formulaire!$H$90</definedName>
    <definedName name="AutreFraisAchatMars2022">Formulaire!$L$90</definedName>
    <definedName name="AutreFraisDecembre2021">Formulaire!$F$126</definedName>
    <definedName name="AutreFraisFevrier2022">Formulaire!$J$126</definedName>
    <definedName name="AutreFraisJanvier2022">Formulaire!$H$126</definedName>
    <definedName name="AutreFraisMars2022">Formulaire!$L$126</definedName>
    <definedName name="AutreLocauxDecembre2021">Formulaire!$F$105</definedName>
    <definedName name="AutreLocauxFevrier2022">Formulaire!$J$105</definedName>
    <definedName name="AutreLocauxJanvier2022">Formulaire!$H$105</definedName>
    <definedName name="AutreLocauxMars2022">Formulaire!$L$105</definedName>
    <definedName name="AutreMensualiteDecembre2021">Formulaire!$F$98</definedName>
    <definedName name="AutreMensualiteFevrier2022">Formulaire!$J$98</definedName>
    <definedName name="AutreMensualitejanvier2022">Formulaire!$H$98</definedName>
    <definedName name="AutreMensualiteMars2022">Formulaire!$L$98</definedName>
    <definedName name="AutrePubDecembre2021">Formulaire!$F$128</definedName>
    <definedName name="AutrePubFevrier2022">Formulaire!$J$128</definedName>
    <definedName name="AutrePubJanvier2022">Formulaire!$H$128</definedName>
    <definedName name="AutrePubMars2022">Formulaire!$L$128</definedName>
    <definedName name="AutresChargesDecembre2021">Formulaire!$F$94</definedName>
    <definedName name="AutresChargesFevrier2022">Formulaire!$J$94</definedName>
    <definedName name="AutresChargesJanvier2022">Formulaire!$H$94</definedName>
    <definedName name="AutresChargesMars2022">Formulaire!$L$94</definedName>
    <definedName name="AutreTaxesDecembre2021">Formulaire!$F$108</definedName>
    <definedName name="AutreTaxesFevrier2022">Formulaire!$J$108</definedName>
    <definedName name="AutreTaxesJanvier2022">Formulaire!$H$108</definedName>
    <definedName name="AutreTaxesMars2022">Formulaire!$L$108</definedName>
    <definedName name="AutreVehiculeDecembre2021">Formulaire!$F$113</definedName>
    <definedName name="AutreVehiculeFevrier2022">Formulaire!$J$113</definedName>
    <definedName name="AutreVehiculeJanvier2022">Formulaire!$H$113</definedName>
    <definedName name="AutreVehiculeMars2022">Formulaire!$L$113</definedName>
    <definedName name="Banque">Formulaire!$C$38</definedName>
    <definedName name="CAComRevenuDecembre2021">Formulaire!$C$56</definedName>
    <definedName name="CAComRevenuFevrier2022">Formulaire!$E$56</definedName>
    <definedName name="CAComRevenuJanvier2022">Formulaire!$D$56</definedName>
    <definedName name="CAComRevenuMars2022">Formulaire!$F$56</definedName>
    <definedName name="Cas1DejaAidee">Formulaire!$G$46</definedName>
    <definedName name="Cas2DejaAidee">Formulaire!$G$47</definedName>
    <definedName name="Cas3_1DejaAidee">Formulaire!$G$48</definedName>
    <definedName name="Cas3_2DejaAidee">Formulaire!$G$49</definedName>
    <definedName name="CCP">Formulaire!$C$37</definedName>
    <definedName name="ChargesAccessoiresDecembre2021">Formulaire!$F$100</definedName>
    <definedName name="ChargesAccessoiresFevrier2022">Formulaire!$J$100</definedName>
    <definedName name="ChargesAccessoiresJanvier2022">Formulaire!$H$100</definedName>
    <definedName name="ChargesAccessoiresMars2022">Formulaire!$L$100</definedName>
    <definedName name="ChargesAnnuelles">Formulaire!$C$77</definedName>
    <definedName name="ChargesSocialeDecembre2021">Formulaire!$F$92</definedName>
    <definedName name="ChargesSocialeFevrier2022">Formulaire!$J$92</definedName>
    <definedName name="ChargesSocialeJanvier22">Formulaire!$H$92</definedName>
    <definedName name="ChargesSocialeMars2022">Formulaire!$L$92</definedName>
    <definedName name="ChauffageDecembre2021">Formulaire!$F$102</definedName>
    <definedName name="ChauffageFevrier2022">Formulaire!$J$102</definedName>
    <definedName name="ChauffageJanvier2022">Formulaire!$H$102</definedName>
    <definedName name="ChauffageMars2022">Formulaire!$L$102</definedName>
    <definedName name="ChosesDecembre2021">Formulaire!$F$115</definedName>
    <definedName name="ChosesFevrier2022">Formulaire!$J$115</definedName>
    <definedName name="ChosesJanvier2022">Formulaire!$H$115</definedName>
    <definedName name="ChosesMars2022">Formulaire!$L$115</definedName>
    <definedName name="CodePostalContact">Formulaire!$J$22</definedName>
    <definedName name="CodePostaleEntreprise">Formulaire!$C$21</definedName>
    <definedName name="CodePostaleSiege">Formulaire!$C$30</definedName>
    <definedName name="ContratDecembre2021">Formulaire!$F$109</definedName>
    <definedName name="ContratFevrier2022">Formulaire!$J$109</definedName>
    <definedName name="ContratJanvier2022">Formulaire!$H$109</definedName>
    <definedName name="ContratMars2022">Formulaire!$L$109</definedName>
    <definedName name="CopieurDecembre2021">Formulaire!$F$125</definedName>
    <definedName name="CopieurFevrier2022">Formulaire!$J$125</definedName>
    <definedName name="CopieurJanvier2022">Formulaire!$H$125</definedName>
    <definedName name="CopieurMars2022">Formulaire!$L$125</definedName>
    <definedName name="CotisationDecembre2021">Formulaire!$F$122</definedName>
    <definedName name="CotisationFevrier2022">Formulaire!$J$122</definedName>
    <definedName name="CotisationJanvier2022">Formulaire!$H$122</definedName>
    <definedName name="CotisationMars2022">Formulaire!$L$122</definedName>
    <definedName name="DateDemande">Formulaire!$C$10</definedName>
    <definedName name="DroitAide2021">Formulaire!$C$12</definedName>
    <definedName name="ElectriciteDecembre2021">Formulaire!$F$101</definedName>
    <definedName name="ElectriciteFevrier2022">Formulaire!$J$101</definedName>
    <definedName name="ElectriciteJanvier2022">Formulaire!$H$101</definedName>
    <definedName name="ElectriciteMars2022">Formulaire!$L$101</definedName>
    <definedName name="EquipementDecembre2021">Formulaire!$F$95</definedName>
    <definedName name="EquipementFevrier2022">Formulaire!$J$95</definedName>
    <definedName name="EquipementJanvier2022">Formulaire!$H$95</definedName>
    <definedName name="EquipementMars2022">Formulaire!$L$95</definedName>
    <definedName name="ExploitationDecembre2021">Formulaire!$F$117</definedName>
    <definedName name="ExploitationFevrier2022">Formulaire!$J$117</definedName>
    <definedName name="ExploitationJanvier2022">Formulaire!$H$117</definedName>
    <definedName name="ExploitationMars2022">Formulaire!$L$117</definedName>
    <definedName name="FonctionContact">Formulaire!$J$20</definedName>
    <definedName name="FraisContratDecembre2021">Formulaire!$F$127</definedName>
    <definedName name="FraisContratFevrier2022">Formulaire!$J$127</definedName>
    <definedName name="FraisContratJanvier2022">Formulaire!$H$127</definedName>
    <definedName name="FraisContratMars2022">Formulaire!$L$127</definedName>
    <definedName name="FraisInfoDecembre2021">Formulaire!$F$124</definedName>
    <definedName name="FraisInfoFevrier2022">Formulaire!$J$124</definedName>
    <definedName name="FraisInfoJanvier2022">Formulaire!$H$124</definedName>
    <definedName name="FraisInfoMars2022">Formulaire!$L$124</definedName>
    <definedName name="GCP">Formulaire!$C$42</definedName>
    <definedName name="HonoraireDecembre2021">Formulaire!$F$123</definedName>
    <definedName name="HonoraireFevrier2022">Formulaire!$J$123</definedName>
    <definedName name="HonoraireJanvier2022">Formulaire!$H$123</definedName>
    <definedName name="HonoraireMars2022">Formulaire!$L$123</definedName>
    <definedName name="Iban">Formulaire!$C$36</definedName>
    <definedName name="IDE">Formulaire!$C$18</definedName>
    <definedName name="IncendieDecembre2021">Formulaire!$F$114</definedName>
    <definedName name="IncendieFevrier2022">Formulaire!$J$114</definedName>
    <definedName name="IncendieJanvier2022">Formulaire!$H$114</definedName>
    <definedName name="IncendieMars2022">Formulaire!$L$114</definedName>
    <definedName name="InformatiqueDecembre2021">Formulaire!$F$97</definedName>
    <definedName name="InformatiqueFevrier2022">Formulaire!$J$97</definedName>
    <definedName name="InformatiqueJanvier2022">Formulaire!$H$97</definedName>
    <definedName name="InformatiqueMars2022">Formulaire!$L$97</definedName>
    <definedName name="InteretFraisDecembre2021">Formulaire!$F$129</definedName>
    <definedName name="InteretFraisFevrier2022">Formulaire!$J$129</definedName>
    <definedName name="InteretFraisJanvier2022">Formulaire!$H$129</definedName>
    <definedName name="InteretFraisMars2022">Formulaire!$L$129</definedName>
    <definedName name="InternetDecembre2021">Formulaire!$F$121</definedName>
    <definedName name="InternetFevrier2022">Formulaire!$J$121</definedName>
    <definedName name="InternetJanvier2022">Formulaire!$H$121</definedName>
    <definedName name="InternetMars2022">Formulaire!$L$121</definedName>
    <definedName name="Liste_Activite">Liste!$E$2:$E$16</definedName>
    <definedName name="Liste_FormeJuridique">Liste!$C$2:$C$5</definedName>
    <definedName name="Liste_Option">Liste!$K$2:$K$3</definedName>
    <definedName name="Liste_Region">Liste!$A$2:$A$7</definedName>
    <definedName name="Liste_Type">Liste!$G$2:$G$3</definedName>
    <definedName name="Liste_X">Liste!$I$2:$I$3</definedName>
    <definedName name="LocaliteContact">Formulaire!$J$23</definedName>
    <definedName name="LocaliteEntreprise">Formulaire!$C$22</definedName>
    <definedName name="LocaliteSiege">Formulaire!$C$31</definedName>
    <definedName name="LoyerDecembre2021">Formulaire!$F$99</definedName>
    <definedName name="LoyerFevrier2022">Formulaire!$J$99</definedName>
    <definedName name="LoyerJanvier2022">Formulaire!$H$99</definedName>
    <definedName name="LoyerMars2022">Formulaire!$L$99</definedName>
    <definedName name="MailContact">Formulaire!$J$24</definedName>
    <definedName name="MaterielDecembre2021">Formulaire!$F$88</definedName>
    <definedName name="MaterielFevrier2022">Formulaire!$J$88</definedName>
    <definedName name="MaterielJanvier2022">Formulaire!$H$88</definedName>
    <definedName name="MaterielMars2022">Formulaire!$L$88</definedName>
    <definedName name="MontantRevenuAPGDecembre2021">Formulaire!$C$58</definedName>
    <definedName name="MontantRevenuAPGFevrier2022">Formulaire!$E$58</definedName>
    <definedName name="MontantRevenuAPGJanvier2022">Formulaire!$D$58</definedName>
    <definedName name="MontantRevenuAPGMars2022">Formulaire!$F$58</definedName>
    <definedName name="MontantRevenuRHTDecembre2021">Formulaire!$C$57</definedName>
    <definedName name="MontantRevenuRHTFevrier2022">Formulaire!$E$57</definedName>
    <definedName name="MontantRevenuRHTJanvier2022">Formulaire!$D$57</definedName>
    <definedName name="MontantRevenuRHTMars2022">Formulaire!$F$57</definedName>
    <definedName name="NettoyageDecembre2021">Formulaire!$F$103</definedName>
    <definedName name="NettoyageFevrier2022">Formulaire!$J$103</definedName>
    <definedName name="NettoyageJanvier2022">Formulaire!$H$103</definedName>
    <definedName name="NettoyageMars2022">Formulaire!$L$103</definedName>
    <definedName name="NomContact">Formulaire!$J$18</definedName>
    <definedName name="NomEntreprise">Formulaire!$C$19</definedName>
    <definedName name="NumeroCompte">Formulaire!$C$39</definedName>
    <definedName name="OpositionEnCours">Formulaire!$E$14</definedName>
    <definedName name="OptionCalculdesCharges">Formulaire!$C$71</definedName>
    <definedName name="PatenteDecembre2021">Formulaire!$F$107</definedName>
    <definedName name="PatenteFevrier2022">Formulaire!$J$107</definedName>
    <definedName name="PatenteJanvier2022">Formulaire!$H$107</definedName>
    <definedName name="PatenteMars2022">Formulaire!$L$107</definedName>
    <definedName name="PortableContact">Formulaire!$J$26</definedName>
    <definedName name="PrenomContact">Formulaire!$J$19</definedName>
    <definedName name="PrestationDecembre2021">Formulaire!$F$89</definedName>
    <definedName name="PrestationFevrier2022">Formulaire!$J$89</definedName>
    <definedName name="PrestationJanvier2022">Formulaire!$H$89</definedName>
    <definedName name="PrestationMars2022">Formulaire!$L$89</definedName>
    <definedName name="ProtectionDecembre2021">Formulaire!$F$118</definedName>
    <definedName name="ProtectionFevrier2022">Formulaire!$J$118</definedName>
    <definedName name="ProtectionJanvier2022">Formulaire!$H$118</definedName>
    <definedName name="ProtectionMars2022">Formulaire!$L$118</definedName>
    <definedName name="RegionEntreprise">Formulaire!$C$23</definedName>
    <definedName name="RegionSiege">Formulaire!$C$32</definedName>
    <definedName name="ResponsabiliteDecembre2021">Formulaire!$F$116</definedName>
    <definedName name="ResponsabiliteFevrier2022">Formulaire!$J$116</definedName>
    <definedName name="ResponsabiliteJanvier2022">Formulaire!$H$116</definedName>
    <definedName name="ResponsabiliteMars2022">Formulaire!$L$116</definedName>
    <definedName name="RueContact">Formulaire!$J$21</definedName>
    <definedName name="RueEntreprise">Formulaire!$C$20</definedName>
    <definedName name="RueSiege">Formulaire!$C$29</definedName>
    <definedName name="SalairesDecembre2021">Formulaire!$F$91</definedName>
    <definedName name="SalairesFevrier2022">Formulaire!$J$91</definedName>
    <definedName name="SalairesJanvier2022">Formulaire!$H$91</definedName>
    <definedName name="SalairesMars2022">Formulaire!$L$91</definedName>
    <definedName name="SecuriteDecembre2021">Formulaire!$F$104</definedName>
    <definedName name="SecuriteFevrier2022">Formulaire!$J$104</definedName>
    <definedName name="SecuriteJanvier2022">Formulaire!$H$104</definedName>
    <definedName name="SecuriteMars2022">Formulaire!$L$104</definedName>
    <definedName name="SiteWeb">Formulaire!$C$26</definedName>
    <definedName name="TaxesDecembre2021">Formulaire!$F$106</definedName>
    <definedName name="TaxesFevrier2022">Formulaire!$J$106</definedName>
    <definedName name="TaxesJanvier2022">Formulaire!$H$106</definedName>
    <definedName name="TaxesMars2022">Formulaire!$L$106</definedName>
    <definedName name="TaxesVehiculeDecembre2021">Formulaire!$F$112</definedName>
    <definedName name="TaxesVehiculeFevrier2022">Formulaire!$J$112</definedName>
    <definedName name="TaxesVehiculeJanvier2022">Formulaire!$H$112</definedName>
    <definedName name="TaxesVehiculeMars2022">Formulaire!$L$112</definedName>
    <definedName name="TelephoneContact">Formulaire!$J$25</definedName>
    <definedName name="TelephoneDecembre2021">Formulaire!$F$120</definedName>
    <definedName name="TelephoneEntreprise">Formulaire!$C$24</definedName>
    <definedName name="TelephoneFevrier2022">Formulaire!$J$120</definedName>
    <definedName name="TelephoneJanvier2022">Formulaire!$H$120</definedName>
    <definedName name="TelephoneMars2022">Formulaire!$L$120</definedName>
    <definedName name="VehiculesDecembre2021">Formulaire!$F$96</definedName>
    <definedName name="VehiculesFevrier2022">Formulaire!$J$96</definedName>
    <definedName name="VehiculesJanvier2022">Formulaire!$H$96</definedName>
    <definedName name="VehiculesMars2022">Formulaire!$L$96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15" i="8" l="1"/>
  <c r="P111" i="8"/>
  <c r="P107" i="8"/>
  <c r="P96" i="8"/>
  <c r="N85" i="8"/>
  <c r="J23" i="8"/>
  <c r="J22" i="8"/>
  <c r="J21" i="8"/>
  <c r="J20" i="8"/>
  <c r="C59" i="3" l="1"/>
  <c r="E61" i="3" l="1"/>
  <c r="D60" i="3"/>
  <c r="E60" i="3"/>
  <c r="F60" i="3"/>
  <c r="C60" i="3"/>
  <c r="C62" i="3" s="1"/>
  <c r="F61" i="3"/>
  <c r="D61" i="3"/>
  <c r="C61" i="3"/>
  <c r="G60" i="3" l="1"/>
  <c r="G61" i="3"/>
  <c r="P134" i="8"/>
  <c r="O134" i="8"/>
  <c r="N134" i="8"/>
  <c r="M134" i="8"/>
  <c r="P133" i="8"/>
  <c r="O133" i="8"/>
  <c r="N133" i="8"/>
  <c r="M133" i="8"/>
  <c r="P132" i="8"/>
  <c r="O132" i="8"/>
  <c r="N132" i="8"/>
  <c r="M132" i="8"/>
  <c r="P131" i="8"/>
  <c r="O131" i="8"/>
  <c r="N131" i="8"/>
  <c r="M131" i="8"/>
  <c r="P130" i="8"/>
  <c r="O130" i="8"/>
  <c r="N130" i="8"/>
  <c r="M130" i="8"/>
  <c r="P129" i="8"/>
  <c r="O129" i="8"/>
  <c r="N129" i="8"/>
  <c r="M129" i="8"/>
  <c r="P128" i="8"/>
  <c r="O128" i="8"/>
  <c r="N128" i="8"/>
  <c r="M128" i="8"/>
  <c r="P127" i="8"/>
  <c r="O127" i="8"/>
  <c r="N127" i="8"/>
  <c r="M127" i="8"/>
  <c r="P126" i="8"/>
  <c r="O126" i="8"/>
  <c r="N126" i="8"/>
  <c r="M126" i="8"/>
  <c r="P125" i="8"/>
  <c r="O125" i="8"/>
  <c r="N125" i="8"/>
  <c r="M125" i="8"/>
  <c r="P124" i="8"/>
  <c r="O124" i="8"/>
  <c r="N124" i="8"/>
  <c r="M124" i="8"/>
  <c r="P123" i="8"/>
  <c r="O123" i="8"/>
  <c r="N123" i="8"/>
  <c r="M123" i="8"/>
  <c r="P122" i="8"/>
  <c r="O122" i="8"/>
  <c r="N122" i="8"/>
  <c r="M122" i="8"/>
  <c r="P121" i="8"/>
  <c r="O121" i="8"/>
  <c r="N121" i="8"/>
  <c r="M121" i="8"/>
  <c r="P120" i="8"/>
  <c r="O120" i="8"/>
  <c r="N120" i="8"/>
  <c r="M120" i="8"/>
  <c r="P119" i="8"/>
  <c r="O119" i="8"/>
  <c r="N119" i="8"/>
  <c r="M119" i="8"/>
  <c r="P118" i="8"/>
  <c r="O118" i="8"/>
  <c r="N118" i="8"/>
  <c r="M118" i="8"/>
  <c r="P117" i="8"/>
  <c r="O117" i="8"/>
  <c r="N117" i="8"/>
  <c r="M117" i="8"/>
  <c r="P116" i="8"/>
  <c r="O116" i="8"/>
  <c r="N116" i="8"/>
  <c r="M116" i="8"/>
  <c r="O115" i="8"/>
  <c r="N115" i="8"/>
  <c r="M115" i="8"/>
  <c r="P114" i="8"/>
  <c r="O114" i="8"/>
  <c r="N114" i="8"/>
  <c r="M114" i="8"/>
  <c r="P113" i="8"/>
  <c r="O113" i="8"/>
  <c r="N113" i="8"/>
  <c r="M113" i="8"/>
  <c r="P112" i="8"/>
  <c r="O112" i="8"/>
  <c r="N112" i="8"/>
  <c r="M112" i="8"/>
  <c r="O111" i="8"/>
  <c r="N111" i="8"/>
  <c r="M111" i="8"/>
  <c r="P110" i="8"/>
  <c r="O110" i="8"/>
  <c r="N110" i="8"/>
  <c r="M110" i="8"/>
  <c r="P109" i="8"/>
  <c r="O109" i="8"/>
  <c r="N109" i="8"/>
  <c r="M109" i="8"/>
  <c r="P108" i="8"/>
  <c r="O108" i="8"/>
  <c r="N108" i="8"/>
  <c r="M108" i="8"/>
  <c r="O107" i="8"/>
  <c r="N107" i="8"/>
  <c r="M107" i="8"/>
  <c r="P106" i="8"/>
  <c r="O106" i="8"/>
  <c r="N106" i="8"/>
  <c r="M106" i="8"/>
  <c r="P105" i="8"/>
  <c r="O105" i="8"/>
  <c r="N105" i="8"/>
  <c r="M105" i="8"/>
  <c r="P104" i="8"/>
  <c r="O104" i="8"/>
  <c r="N104" i="8"/>
  <c r="M104" i="8"/>
  <c r="P103" i="8"/>
  <c r="O103" i="8"/>
  <c r="N103" i="8"/>
  <c r="M103" i="8"/>
  <c r="P102" i="8"/>
  <c r="O102" i="8"/>
  <c r="N102" i="8"/>
  <c r="M102" i="8"/>
  <c r="P101" i="8"/>
  <c r="O101" i="8"/>
  <c r="N101" i="8"/>
  <c r="M101" i="8"/>
  <c r="P100" i="8"/>
  <c r="O100" i="8"/>
  <c r="N100" i="8"/>
  <c r="M100" i="8"/>
  <c r="P99" i="8"/>
  <c r="O99" i="8"/>
  <c r="N99" i="8"/>
  <c r="M99" i="8"/>
  <c r="P98" i="8"/>
  <c r="O98" i="8"/>
  <c r="N98" i="8"/>
  <c r="M98" i="8"/>
  <c r="P97" i="8"/>
  <c r="O97" i="8"/>
  <c r="N97" i="8"/>
  <c r="M97" i="8"/>
  <c r="O96" i="8"/>
  <c r="N96" i="8"/>
  <c r="M96" i="8"/>
  <c r="P95" i="8"/>
  <c r="O95" i="8"/>
  <c r="N95" i="8"/>
  <c r="M95" i="8"/>
  <c r="P94" i="8"/>
  <c r="O94" i="8"/>
  <c r="N94" i="8"/>
  <c r="M94" i="8"/>
  <c r="P93" i="8"/>
  <c r="O93" i="8"/>
  <c r="N93" i="8"/>
  <c r="M93" i="8"/>
  <c r="P92" i="8"/>
  <c r="O92" i="8"/>
  <c r="N92" i="8"/>
  <c r="M92" i="8"/>
  <c r="P91" i="8"/>
  <c r="O91" i="8"/>
  <c r="N91" i="8"/>
  <c r="M91" i="8"/>
  <c r="P85" i="8"/>
  <c r="O85" i="8"/>
  <c r="M85" i="8"/>
  <c r="P84" i="8"/>
  <c r="O84" i="8"/>
  <c r="N84" i="8"/>
  <c r="M84" i="8"/>
  <c r="P83" i="8"/>
  <c r="O83" i="8"/>
  <c r="N83" i="8"/>
  <c r="M83" i="8"/>
  <c r="J63" i="8"/>
  <c r="J62" i="8"/>
  <c r="J61" i="8"/>
  <c r="J60" i="8"/>
  <c r="J59" i="8"/>
  <c r="J58" i="8"/>
  <c r="J56" i="8"/>
  <c r="J55" i="8"/>
  <c r="J47" i="8"/>
  <c r="J46" i="8"/>
  <c r="J45" i="8"/>
  <c r="J44" i="8"/>
  <c r="J43" i="8"/>
  <c r="J38" i="8"/>
  <c r="J37" i="8"/>
  <c r="J33" i="8"/>
  <c r="J32" i="8"/>
  <c r="J31" i="8"/>
  <c r="J30" i="8"/>
  <c r="J29" i="8"/>
  <c r="J28" i="8"/>
  <c r="J27" i="8"/>
  <c r="J26" i="8"/>
  <c r="J25" i="8"/>
  <c r="J24" i="8"/>
  <c r="J19" i="8"/>
  <c r="J18" i="8"/>
  <c r="J17" i="8"/>
  <c r="J16" i="8"/>
  <c r="J15" i="8"/>
  <c r="J13" i="8"/>
  <c r="J12" i="8"/>
  <c r="G58" i="3" l="1"/>
  <c r="G57" i="3"/>
  <c r="G56" i="3"/>
  <c r="F59" i="3"/>
  <c r="F62" i="3" s="1"/>
  <c r="E59" i="3"/>
  <c r="E62" i="3" s="1"/>
  <c r="D59" i="3"/>
  <c r="D62" i="3" s="1"/>
  <c r="G62" i="3" l="1"/>
  <c r="G59" i="3"/>
  <c r="J131" i="3"/>
  <c r="L131" i="3"/>
  <c r="H131" i="3"/>
  <c r="F131" i="3"/>
</calcChain>
</file>

<file path=xl/sharedStrings.xml><?xml version="1.0" encoding="utf-8"?>
<sst xmlns="http://schemas.openxmlformats.org/spreadsheetml/2006/main" count="328" uniqueCount="286">
  <si>
    <t>Localité</t>
  </si>
  <si>
    <t>Région</t>
  </si>
  <si>
    <t>Forme juridique</t>
  </si>
  <si>
    <t>Chiffre d’affaires provenant de l’activité commerciale</t>
  </si>
  <si>
    <t>Cas spéciaux</t>
  </si>
  <si>
    <t>Mars</t>
  </si>
  <si>
    <t>Avril</t>
  </si>
  <si>
    <t>Mai</t>
  </si>
  <si>
    <t>Juin</t>
  </si>
  <si>
    <t>Juillet</t>
  </si>
  <si>
    <t>Aout</t>
  </si>
  <si>
    <t>Libelle</t>
  </si>
  <si>
    <t>TotalFondPropre</t>
  </si>
  <si>
    <t>BeneficeFinal</t>
  </si>
  <si>
    <t>CACom</t>
  </si>
  <si>
    <t>Region</t>
  </si>
  <si>
    <t>Jura bernois</t>
  </si>
  <si>
    <t>Bienne-Seeland</t>
  </si>
  <si>
    <t>Bern-Mittelland</t>
  </si>
  <si>
    <t>Oberaargau</t>
  </si>
  <si>
    <t>Emmental</t>
  </si>
  <si>
    <t>Oberland</t>
  </si>
  <si>
    <t>SA</t>
  </si>
  <si>
    <t>Sàrl</t>
  </si>
  <si>
    <t>Individuelle</t>
  </si>
  <si>
    <t>Janvier</t>
  </si>
  <si>
    <t>Fevrier</t>
  </si>
  <si>
    <t>Septembre</t>
  </si>
  <si>
    <t>Octobre</t>
  </si>
  <si>
    <t>Novembre</t>
  </si>
  <si>
    <t>Decembre</t>
  </si>
  <si>
    <t>Code Postal</t>
  </si>
  <si>
    <t>Données sur l'entreprise effectuant la demande</t>
  </si>
  <si>
    <t>A_</t>
  </si>
  <si>
    <t>B_</t>
  </si>
  <si>
    <t>C_</t>
  </si>
  <si>
    <t>D_</t>
  </si>
  <si>
    <t xml:space="preserve">Site web </t>
  </si>
  <si>
    <t>Direction de l'économie,  de l'énergie
 et de l'environnement</t>
  </si>
  <si>
    <t>N° d'identification des entreprises (IDE)</t>
  </si>
  <si>
    <t>Autre</t>
  </si>
  <si>
    <t>FR</t>
  </si>
  <si>
    <t>Coordonnés bancaires ou postales de l'entreprise</t>
  </si>
  <si>
    <t>CCP</t>
  </si>
  <si>
    <t>Banque</t>
  </si>
  <si>
    <t>N° de compte</t>
  </si>
  <si>
    <t>N° GCP</t>
  </si>
  <si>
    <t>Total*</t>
  </si>
  <si>
    <t>Activité</t>
  </si>
  <si>
    <t>Artisanat</t>
  </si>
  <si>
    <t>Industrie</t>
  </si>
  <si>
    <t>Commerce</t>
  </si>
  <si>
    <t>Restauration</t>
  </si>
  <si>
    <t>Hôtellerie</t>
  </si>
  <si>
    <t>Evénementiel</t>
  </si>
  <si>
    <t>Agences de voyage</t>
  </si>
  <si>
    <t>Entreprises touristiques</t>
  </si>
  <si>
    <t>Santé – soins</t>
  </si>
  <si>
    <t>Autres services à la personne</t>
  </si>
  <si>
    <t>Loisirs et sport</t>
  </si>
  <si>
    <t>Consulting</t>
  </si>
  <si>
    <t>Autres activités</t>
  </si>
  <si>
    <t>IBAN (entreprise)</t>
  </si>
  <si>
    <t>Office de l'économie</t>
  </si>
  <si>
    <t>Date de la demande</t>
  </si>
  <si>
    <t xml:space="preserve">*Ne rien introduire: calculé par le système </t>
  </si>
  <si>
    <t>Une fois rempli, veuillez le renvoyer uniquement en format Excel à l'adresse suivante: covid.support@be.ch</t>
  </si>
  <si>
    <t>Rue / Case Postale</t>
  </si>
  <si>
    <t>Mensualités de leasing payées</t>
  </si>
  <si>
    <t>Charges des locaux</t>
  </si>
  <si>
    <t>Electricité/eau</t>
  </si>
  <si>
    <t>Taxes et autorisations</t>
  </si>
  <si>
    <t>Entretien</t>
  </si>
  <si>
    <t>Véhicules d'entreprise</t>
  </si>
  <si>
    <t>Assurances</t>
  </si>
  <si>
    <t>Frais administratifs</t>
  </si>
  <si>
    <t>Frais de publicité</t>
  </si>
  <si>
    <t>Frais financiers</t>
  </si>
  <si>
    <t>En CHF</t>
  </si>
  <si>
    <t>Pour les équipements et installations</t>
  </si>
  <si>
    <t>Pour les véhicules d'entreprise</t>
  </si>
  <si>
    <t>Pour l'informatique</t>
  </si>
  <si>
    <t>Charges accessoires</t>
  </si>
  <si>
    <t>Chauffage</t>
  </si>
  <si>
    <t>Nettoyage</t>
  </si>
  <si>
    <t>Sécurité</t>
  </si>
  <si>
    <t>Intérêts sur emprunts existants</t>
  </si>
  <si>
    <t>Contrats fixes existants</t>
  </si>
  <si>
    <t>Copieurs/imprimantes - redevances fixes</t>
  </si>
  <si>
    <t>Informatique - licences</t>
  </si>
  <si>
    <t>Honoraires fiduciaire - traitement dossier usuel</t>
  </si>
  <si>
    <t>Patentes, droits d'exploiter</t>
  </si>
  <si>
    <t>Contrats fixes pour les installations</t>
  </si>
  <si>
    <t>Taxes circulation</t>
  </si>
  <si>
    <t>Incendie/bâtiment</t>
  </si>
  <si>
    <t>Choses</t>
  </si>
  <si>
    <t>Responsabilité civile</t>
  </si>
  <si>
    <t>Perte d'exploitation</t>
  </si>
  <si>
    <t>Protection juridique</t>
  </si>
  <si>
    <t>Téléphonie</t>
  </si>
  <si>
    <t>Internet</t>
  </si>
  <si>
    <t>Cotisations professionnelles</t>
  </si>
  <si>
    <t>Pour fermeture d'au minimum 40j</t>
  </si>
  <si>
    <t>Pour réduction de CA &gt;40%</t>
  </si>
  <si>
    <t>Montant reçu pour les RHT</t>
  </si>
  <si>
    <t>Fevrier21</t>
  </si>
  <si>
    <t>Janvier21</t>
  </si>
  <si>
    <t>Mars21</t>
  </si>
  <si>
    <t>Avril21</t>
  </si>
  <si>
    <t>Mai21</t>
  </si>
  <si>
    <t>Juin21</t>
  </si>
  <si>
    <t>Type</t>
  </si>
  <si>
    <t>Taxes ordures, déchets</t>
  </si>
  <si>
    <t>EnCas4</t>
  </si>
  <si>
    <t>X</t>
  </si>
  <si>
    <t>Montant d'aide pour cas de rigueur reçu en 2021</t>
  </si>
  <si>
    <t>Nom de l'entreprise</t>
  </si>
  <si>
    <r>
      <t xml:space="preserve">Données fiscales </t>
    </r>
    <r>
      <rPr>
        <b/>
        <i/>
        <sz val="12"/>
        <color theme="1"/>
        <rFont val="Calibri"/>
        <family val="2"/>
        <scheme val="minor"/>
      </rPr>
      <t>(personne physique ou morale)</t>
    </r>
  </si>
  <si>
    <t>Montant reçu pour les APG</t>
  </si>
  <si>
    <t>Total des revenus*</t>
  </si>
  <si>
    <t>Total des charges non couvertes*</t>
  </si>
  <si>
    <t>Charges de personnel</t>
  </si>
  <si>
    <t>Informations financières de l'entreprise : déc.21-juin22</t>
  </si>
  <si>
    <t xml:space="preserve"> Revenus</t>
  </si>
  <si>
    <t>Frais d'achats, marchandises, prestations</t>
  </si>
  <si>
    <t>Prestations de services</t>
  </si>
  <si>
    <t>Salaires</t>
  </si>
  <si>
    <t>Charges sociales (AVS, AI, APG, AC)</t>
  </si>
  <si>
    <t>Assurances et charges patronales (LPP, LAA, allocations familiales, assurance perte de gain maladie)</t>
  </si>
  <si>
    <t>Autres charges de personnel</t>
  </si>
  <si>
    <t>TOTAL DES CHARGES MENSUELLES (ne rien introduire: calculé par le système)</t>
  </si>
  <si>
    <r>
      <t xml:space="preserve">Une fois rempli, ce formulaire est à renvoyer tel quel, </t>
    </r>
    <r>
      <rPr>
        <b/>
        <sz val="12"/>
        <rFont val="Calibri (Corps)"/>
      </rPr>
      <t>EN FORMAT EXCEL</t>
    </r>
    <r>
      <rPr>
        <sz val="12"/>
        <rFont val="Calibri (Corps)"/>
      </rPr>
      <t xml:space="preserve"> à l'adresse suivante : </t>
    </r>
    <r>
      <rPr>
        <b/>
        <sz val="12"/>
        <color rgb="FF0070C0"/>
        <rFont val="Calibri (Corps)"/>
      </rPr>
      <t>covid.support@be.ch</t>
    </r>
  </si>
  <si>
    <t>Si l'entreprise n'a pas reçu d'aide en 2021, veuillez utiliser un autre formulaire tel qu'indiqué sur le site internet</t>
  </si>
  <si>
    <t xml:space="preserve">Personne de contact (habilitée à représenter la société) </t>
  </si>
  <si>
    <t xml:space="preserve">Nom </t>
  </si>
  <si>
    <t>Prénom</t>
  </si>
  <si>
    <t>Fonction</t>
  </si>
  <si>
    <t>Rue</t>
  </si>
  <si>
    <t>Code postal</t>
  </si>
  <si>
    <t>Adresse e-mail</t>
  </si>
  <si>
    <t>N° de mobile</t>
  </si>
  <si>
    <t>E_</t>
  </si>
  <si>
    <t>Si vous faites une demande globale pour l'entreprise, veuillez indiquer les chiffres totaux</t>
  </si>
  <si>
    <t>Si vous faites une demande par secteur(s) d'activité(s), veuillez indiquer uniquement les chiffres pour le ou les secteurs concernés (si plusieurs secteurs : veuillez additionner les chiffres).</t>
  </si>
  <si>
    <t>E1_</t>
  </si>
  <si>
    <t>E2_</t>
  </si>
  <si>
    <t>Coûts mensuels déc.21-mars22</t>
  </si>
  <si>
    <t>2. Si l'entreprise boucle à une autre date que le 31 décembre, les charges annuelles doivent correspondre au dernier exercice comptable dont la clôture a été faite en 2021 (p.ex. mars, juin ou sept. 2021).</t>
  </si>
  <si>
    <t>Total en CHF</t>
  </si>
  <si>
    <t>Formulaire de demande concernant les mesures pour les cas de rigueur liés au COVID-19 / Période déc.21-mars22</t>
  </si>
  <si>
    <t>Dans ce cas, veuillez remplir précisément les coûts réels dans les colonnes ci-dessous:</t>
  </si>
  <si>
    <t>Les coûts mensuels de déc.21 à mars 22 seront automatiquement calculés sur la base de l'année 2021 (chaque mois correspondra à 1/12 des coûts annuels 2021).</t>
  </si>
  <si>
    <t>Dans ce cas, veuillez remplir le champ suivant:</t>
  </si>
  <si>
    <t>Total des charges (option 1)*</t>
  </si>
  <si>
    <t>Total des charges (option 2)*</t>
  </si>
  <si>
    <t>Seules les charges qui ont une incidence sur la liquidité sont prises en compte (les amortissements, les provisions et les variations de valeur sont exclus).</t>
  </si>
  <si>
    <t>1. Les charges annuelles doivent correspondre à celles mentionnées dans les comptes 2021 (charges variables et charges fixes). Seules les charges qui ont une incidence sur la liquidité sont prises en compte (les amortissements, les provisions et les variations de valeur sont exclus).</t>
  </si>
  <si>
    <t>Matériel et marchandises</t>
  </si>
  <si>
    <t>Une procédure d'opposition ou de recours est en cours et pas encore réglée concernant l'aide pour cas de rigueur accordée en 2021. Si oui, marquer le champ par un "X".</t>
  </si>
  <si>
    <r>
      <t xml:space="preserve">1) L’entreprise boucle à une </t>
    </r>
    <r>
      <rPr>
        <b/>
        <sz val="11"/>
        <color theme="1"/>
        <rFont val="Calibri"/>
        <family val="2"/>
        <scheme val="minor"/>
      </rPr>
      <t>autre date que le 31 décembre</t>
    </r>
    <r>
      <rPr>
        <sz val="11"/>
        <color theme="1"/>
        <rFont val="Calibri"/>
        <family val="2"/>
        <scheme val="minor"/>
      </rPr>
      <t>, soit le : (jj.mm.aaaa)</t>
    </r>
  </si>
  <si>
    <t xml:space="preserve">Veuillez indiquer l'option choisie pour le calcul des charges: </t>
  </si>
  <si>
    <t>Charges de l'entreprise</t>
  </si>
  <si>
    <t>Option 1 : méthode basée sur les coûts moyens 2021</t>
  </si>
  <si>
    <t>Option 2 : méthode basée sur les coûts réels déc.21-mars22 (les coûts janv-mars 22 doivent correspondre au bouclement trimerstriel)</t>
  </si>
  <si>
    <r>
      <t xml:space="preserve">2) L'entreprise exerce une activité de </t>
    </r>
    <r>
      <rPr>
        <b/>
        <sz val="11"/>
        <color theme="1"/>
        <rFont val="Calibri"/>
        <family val="2"/>
        <scheme val="minor"/>
      </rPr>
      <t>forain</t>
    </r>
    <r>
      <rPr>
        <sz val="11"/>
        <color theme="1"/>
        <rFont val="Calibri"/>
        <family val="2"/>
        <scheme val="minor"/>
      </rPr>
      <t xml:space="preserve"> et est titutlaire d'une autorisation cantonale en vertu de l'art. 2 de la loi fédérale du 23 mars 2021 sur le commerce itinérant. Si oui, marquer le champ par un "X".</t>
    </r>
  </si>
  <si>
    <t>Option</t>
  </si>
  <si>
    <t>Option 1: coûts moyens 2021</t>
  </si>
  <si>
    <t>Option 2: coûts réels</t>
  </si>
  <si>
    <t>Forain</t>
  </si>
  <si>
    <t xml:space="preserve">Transport </t>
  </si>
  <si>
    <t>Langue</t>
  </si>
  <si>
    <t>Type22</t>
  </si>
  <si>
    <t>Date</t>
  </si>
  <si>
    <t>DroitAide2021</t>
  </si>
  <si>
    <t>NombreJoursFermeture</t>
  </si>
  <si>
    <t>NomEntreprise</t>
  </si>
  <si>
    <t>RueEntreprise</t>
  </si>
  <si>
    <t>CodePostaleEntreprise</t>
  </si>
  <si>
    <t>LocaliteEntreprise</t>
  </si>
  <si>
    <t>RegionEntreprise</t>
  </si>
  <si>
    <t>RueSiege</t>
  </si>
  <si>
    <t>CodePostaleSiege</t>
  </si>
  <si>
    <t>LocaliteSiege</t>
  </si>
  <si>
    <t>RegionSiege</t>
  </si>
  <si>
    <t>NomContact</t>
  </si>
  <si>
    <t>PrenomContact</t>
  </si>
  <si>
    <t>FonctionContact</t>
  </si>
  <si>
    <t>RueContact</t>
  </si>
  <si>
    <t>CodePostalContact</t>
  </si>
  <si>
    <t>LocaliteContact</t>
  </si>
  <si>
    <t>MailContact</t>
  </si>
  <si>
    <t>TelephoneContact</t>
  </si>
  <si>
    <t>PortableContact</t>
  </si>
  <si>
    <t>IDE</t>
  </si>
  <si>
    <t>FormeJuridique</t>
  </si>
  <si>
    <t>AutreFormeJuridique</t>
  </si>
  <si>
    <t>DateInscriptionRC</t>
  </si>
  <si>
    <t>Activite</t>
  </si>
  <si>
    <t>SiteWeb</t>
  </si>
  <si>
    <t>CollaborateurTotal</t>
  </si>
  <si>
    <t>CollaborateurSuisse</t>
  </si>
  <si>
    <t>CollaborateurBerne</t>
  </si>
  <si>
    <t>EquivalentTempsPlein</t>
  </si>
  <si>
    <t>Iban</t>
  </si>
  <si>
    <t>NumeroCompte</t>
  </si>
  <si>
    <t>GCP</t>
  </si>
  <si>
    <t>Cas1_1</t>
  </si>
  <si>
    <t>Cas1_2</t>
  </si>
  <si>
    <t>Cas_2</t>
  </si>
  <si>
    <t>Cas_3</t>
  </si>
  <si>
    <t>Cas_4</t>
  </si>
  <si>
    <t>Cas_5</t>
  </si>
  <si>
    <t>PourcentageMasseSalariale</t>
  </si>
  <si>
    <t>OptionCalculdesCharges</t>
  </si>
  <si>
    <t>ChargesAnnuelles</t>
  </si>
  <si>
    <t>ApportFondPropres</t>
  </si>
  <si>
    <t>Cas1DejaAidee</t>
  </si>
  <si>
    <t>Cas2DejaAidee</t>
  </si>
  <si>
    <t>Chiffres globaux de l'entreprise</t>
  </si>
  <si>
    <t>Cas3_1DejaAidee</t>
  </si>
  <si>
    <t>Cas3_2DejaAidee</t>
  </si>
  <si>
    <t>Cpt</t>
  </si>
  <si>
    <t>OpositionEnCours</t>
  </si>
  <si>
    <t>TelephoneEntreprise</t>
  </si>
  <si>
    <t>Chiffres d'affaire par secteu(s)</t>
  </si>
  <si>
    <t>CAComSecteur</t>
  </si>
  <si>
    <r>
      <rPr>
        <b/>
        <i/>
        <sz val="14"/>
        <color theme="1"/>
        <rFont val="Calibri"/>
        <family val="2"/>
        <scheme val="minor"/>
      </rPr>
      <t>2020-2021</t>
    </r>
    <r>
      <rPr>
        <b/>
        <i/>
        <sz val="12"/>
        <color theme="1"/>
        <rFont val="Calibri"/>
        <family val="2"/>
        <scheme val="minor"/>
      </rPr>
      <t xml:space="preserve"> : informations sur les revenus de l'entreprise </t>
    </r>
  </si>
  <si>
    <t>CAComRevenue</t>
  </si>
  <si>
    <t>G1_ Revenus</t>
  </si>
  <si>
    <t>Decembre2021</t>
  </si>
  <si>
    <t>Janvier2022</t>
  </si>
  <si>
    <t>Fevrier2022</t>
  </si>
  <si>
    <t>Mars2022</t>
  </si>
  <si>
    <t>CAComRevenu</t>
  </si>
  <si>
    <t>MontantRevenuRHT</t>
  </si>
  <si>
    <t>MontantRevenuAPG</t>
  </si>
  <si>
    <t>Materiel</t>
  </si>
  <si>
    <t>Prestation</t>
  </si>
  <si>
    <t>AutreFraisAchat</t>
  </si>
  <si>
    <t>ChargesSociale</t>
  </si>
  <si>
    <t>Assurance</t>
  </si>
  <si>
    <t>AutresCharges</t>
  </si>
  <si>
    <t>Equipement</t>
  </si>
  <si>
    <t>Vehicules</t>
  </si>
  <si>
    <t>Informatique</t>
  </si>
  <si>
    <t>AutreMensualite</t>
  </si>
  <si>
    <t>Loyer</t>
  </si>
  <si>
    <t>ChargesAccessoires</t>
  </si>
  <si>
    <t>Electricite</t>
  </si>
  <si>
    <t>Securite</t>
  </si>
  <si>
    <t>AutreLocaux</t>
  </si>
  <si>
    <t>Taxes</t>
  </si>
  <si>
    <t>Patente</t>
  </si>
  <si>
    <t>AutreTaxes</t>
  </si>
  <si>
    <t>Contrat</t>
  </si>
  <si>
    <t>AutreEntretien</t>
  </si>
  <si>
    <t>AssuranceVehicule</t>
  </si>
  <si>
    <t>TaxesVehicule</t>
  </si>
  <si>
    <t>AutreVehicule</t>
  </si>
  <si>
    <t>Incendie</t>
  </si>
  <si>
    <t>Responsabilite</t>
  </si>
  <si>
    <t>Exploitation</t>
  </si>
  <si>
    <t>Protection</t>
  </si>
  <si>
    <t>AutreAssurance</t>
  </si>
  <si>
    <t>Telephone</t>
  </si>
  <si>
    <t>Cotisation</t>
  </si>
  <si>
    <t>Honoraire</t>
  </si>
  <si>
    <t>FraisInfo</t>
  </si>
  <si>
    <t>Copieur</t>
  </si>
  <si>
    <t>AutreFrais</t>
  </si>
  <si>
    <t>FraisContrat</t>
  </si>
  <si>
    <t>AutrePub</t>
  </si>
  <si>
    <t>InteretFrais</t>
  </si>
  <si>
    <t>Amortissement</t>
  </si>
  <si>
    <t>AutreFinance</t>
  </si>
  <si>
    <r>
      <t xml:space="preserve">3a) L'entreprise avait fait une demande en 2021 pour 1 ou plusieurs </t>
    </r>
    <r>
      <rPr>
        <b/>
        <sz val="11"/>
        <color theme="1"/>
        <rFont val="Calibri"/>
        <family val="2"/>
        <scheme val="minor"/>
      </rPr>
      <t>secteurs d'activités séparés</t>
    </r>
    <r>
      <rPr>
        <sz val="11"/>
        <color theme="1"/>
        <rFont val="Calibri"/>
        <family val="2"/>
        <scheme val="minor"/>
      </rPr>
      <t xml:space="preserve"> et non pas pour  toute l'entreprise. Si oui, marquer le champ par un "X"</t>
    </r>
  </si>
  <si>
    <t>Charges annuelles pour l'année 2021</t>
  </si>
  <si>
    <t>A1_</t>
  </si>
  <si>
    <r>
      <t>Adresse du siège</t>
    </r>
    <r>
      <rPr>
        <i/>
        <sz val="12"/>
        <color theme="1"/>
        <rFont val="Calibri"/>
        <family val="2"/>
        <scheme val="minor"/>
      </rPr>
      <t xml:space="preserve"> (seulement si différente)</t>
    </r>
  </si>
  <si>
    <r>
      <t xml:space="preserve">Tous les champs indiqués en </t>
    </r>
    <r>
      <rPr>
        <b/>
        <sz val="12"/>
        <color theme="4" tint="0.39997558519241921"/>
        <rFont val="Calibri (Corps)"/>
      </rPr>
      <t>bleu</t>
    </r>
    <r>
      <rPr>
        <sz val="12"/>
        <color theme="1"/>
        <rFont val="Calibri (Corps)"/>
      </rPr>
      <t xml:space="preserve"> ci-dessous doivent être remplis. Veuillez remplir les chiffres dans les tableaux sans ajouter de caractères spéciaux ni de séparateurs de milliers (d'apostrophe). Veuillez ne pas modifier la forme des tableaux ni ajouter de colonne ou de champ. </t>
    </r>
    <r>
      <rPr>
        <b/>
        <sz val="12"/>
        <color theme="1"/>
        <rFont val="Calibri (Corps)"/>
      </rPr>
      <t>Les demandes incomplètes ou modifiées ne pourront pas être traitées.</t>
    </r>
  </si>
  <si>
    <r>
      <t>3b) Si la demande avait été faite en 2021 pour 1 ou plusieurs secteurs, je confirme que</t>
    </r>
    <r>
      <rPr>
        <b/>
        <sz val="11"/>
        <color theme="1"/>
        <rFont val="Calibri"/>
        <family val="2"/>
        <scheme val="minor"/>
      </rPr>
      <t xml:space="preserve"> la nouvelle demande concerne uniquement le(s) secteur(s) ayant déjà reçu une aide</t>
    </r>
    <r>
      <rPr>
        <sz val="11"/>
        <color theme="1"/>
        <rFont val="Calibri"/>
        <family val="2"/>
        <scheme val="minor"/>
      </rPr>
      <t xml:space="preserve">. Si oui, marquer le champ par un "X". </t>
    </r>
  </si>
  <si>
    <t xml:space="preserve">Le formulaire doit être entièrement rempli y compris le tableau correspondant à l'option choisie pour le calcul des charges  </t>
  </si>
  <si>
    <t>N° de téléphone fixe</t>
  </si>
  <si>
    <t>PME_Aidee</t>
  </si>
  <si>
    <r>
      <t xml:space="preserve">Ce formulaire concerne uniquement les </t>
    </r>
    <r>
      <rPr>
        <b/>
        <u/>
        <sz val="12"/>
        <color theme="0"/>
        <rFont val="Calibri (Corps)"/>
      </rPr>
      <t xml:space="preserve">PME </t>
    </r>
    <r>
      <rPr>
        <b/>
        <sz val="12"/>
        <color theme="0"/>
        <rFont val="Calibri (Corps)"/>
      </rPr>
      <t xml:space="preserve">(chiffre d'affaires &lt; 5millions) ayant </t>
    </r>
    <r>
      <rPr>
        <b/>
        <u/>
        <sz val="12"/>
        <color theme="0"/>
        <rFont val="Calibri (Corps)"/>
      </rPr>
      <t>déjà reçu une aide pour cas de rigueur</t>
    </r>
    <r>
      <rPr>
        <b/>
        <sz val="12"/>
        <color theme="0"/>
        <rFont val="Calibri (Corps)"/>
      </rPr>
      <t xml:space="preserve"> liée au COVID-19 en 2021</t>
    </r>
  </si>
  <si>
    <t>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</si>
</sst>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0"/>
    <numFmt numFmtId="165" formatCode="#,##0.00\ &quot;CHF&quot;"/>
  </numFmts>
  <fonts count="42">
    <font>
      <sz val="11"/>
      <color theme="1"/>
      <name val="Calibri"/>
      <family val="2"/>
      <scheme val="minor"/>
    </font>
    <font>
      <b/>
      <sz val="11"/>
      <color theme="1"/>
      <name val="Calibri"/>
      <family val="2"/>
      <scheme val="minor"/>
    </font>
    <font>
      <sz val="10.5"/>
      <color theme="1"/>
      <name val="Arial"/>
      <family val="2"/>
    </font>
    <font>
      <u/>
      <sz val="11"/>
      <color theme="10"/>
      <name val="Calibri"/>
      <family val="2"/>
      <scheme val="minor"/>
    </font>
    <font>
      <i/>
      <sz val="11"/>
      <color theme="1"/>
      <name val="Calibri"/>
      <family val="2"/>
      <scheme val="minor"/>
    </font>
    <font>
      <b/>
      <i/>
      <sz val="11"/>
      <color theme="1"/>
      <name val="Calibri"/>
      <family val="2"/>
      <scheme val="minor"/>
    </font>
    <font>
      <sz val="18"/>
      <color rgb="FFC00000"/>
      <name val="Calibri (Corps)"/>
    </font>
    <font>
      <sz val="12"/>
      <color rgb="FFC00000"/>
      <name val="Calibri (Corps)"/>
    </font>
    <font>
      <sz val="12"/>
      <color rgb="FFC00000"/>
      <name val="Calibri"/>
      <family val="2"/>
      <scheme val="minor"/>
    </font>
    <font>
      <sz val="12"/>
      <color theme="1"/>
      <name val="Calibri (Corps)"/>
    </font>
    <font>
      <sz val="12"/>
      <color theme="1"/>
      <name val="Calibri"/>
      <family val="2"/>
      <scheme val="minor"/>
    </font>
    <font>
      <b/>
      <i/>
      <sz val="12"/>
      <color theme="1"/>
      <name val="Calibri"/>
      <family val="2"/>
      <scheme val="minor"/>
    </font>
    <font>
      <i/>
      <sz val="12"/>
      <color theme="1"/>
      <name val="Calibri"/>
      <family val="2"/>
      <scheme val="minor"/>
    </font>
    <font>
      <i/>
      <sz val="12"/>
      <color rgb="FF000000"/>
      <name val="Calibri"/>
      <family val="2"/>
      <scheme val="minor"/>
    </font>
    <font>
      <b/>
      <sz val="12"/>
      <color theme="1"/>
      <name val="Calibri"/>
      <family val="2"/>
      <scheme val="minor"/>
    </font>
    <font>
      <i/>
      <sz val="11"/>
      <color theme="1"/>
      <name val="Arial"/>
      <family val="2"/>
    </font>
    <font>
      <sz val="12"/>
      <name val="Calibri"/>
      <family val="2"/>
      <scheme val="minor"/>
    </font>
    <font>
      <i/>
      <sz val="11"/>
      <name val="Calibri"/>
      <family val="2"/>
      <scheme val="minor"/>
    </font>
    <font>
      <sz val="12"/>
      <name val="Calibri (Corps)"/>
    </font>
    <font>
      <b/>
      <sz val="12"/>
      <name val="Calibri (Corps)"/>
    </font>
    <font>
      <sz val="11"/>
      <name val="Calibri"/>
      <family val="2"/>
      <scheme val="minor"/>
    </font>
    <font>
      <b/>
      <sz val="11"/>
      <color rgb="FFFF0000"/>
      <name val="Calibri"/>
      <family val="2"/>
      <scheme val="minor"/>
    </font>
    <font>
      <b/>
      <sz val="12"/>
      <name val="Calibri"/>
      <family val="2"/>
      <scheme val="minor"/>
    </font>
    <font>
      <b/>
      <sz val="14"/>
      <name val="Calibri"/>
      <family val="2"/>
      <scheme val="minor"/>
    </font>
    <font>
      <sz val="12"/>
      <color rgb="FF002060"/>
      <name val="Calibri (Corps)"/>
    </font>
    <font>
      <b/>
      <sz val="12"/>
      <color rgb="FF0070C0"/>
      <name val="Calibri (Corps)"/>
    </font>
    <font>
      <sz val="11"/>
      <color rgb="FFC00000"/>
      <name val="Calibri"/>
      <family val="2"/>
      <scheme val="minor"/>
    </font>
    <font>
      <i/>
      <sz val="12"/>
      <color rgb="FFC00000"/>
      <name val="Calibri"/>
      <family val="2"/>
      <scheme val="minor"/>
    </font>
    <font>
      <b/>
      <sz val="11"/>
      <name val="Calibri"/>
      <family val="2"/>
      <scheme val="minor"/>
    </font>
    <font>
      <i/>
      <sz val="12"/>
      <color rgb="FF002060"/>
      <name val="Calibri"/>
      <family val="2"/>
      <scheme val="minor"/>
    </font>
    <font>
      <b/>
      <sz val="12"/>
      <color theme="4" tint="0.39997558519241921"/>
      <name val="Calibri (Corps)"/>
    </font>
    <font>
      <sz val="11"/>
      <color rgb="FFFF0000"/>
      <name val="Calibri"/>
      <family val="2"/>
      <scheme val="minor"/>
    </font>
    <font>
      <b/>
      <i/>
      <sz val="12"/>
      <color theme="1"/>
      <name val="Calibri"/>
      <family val="2"/>
    </font>
    <font>
      <b/>
      <i/>
      <sz val="14"/>
      <color theme="1"/>
      <name val="Calibri"/>
      <family val="2"/>
      <scheme val="minor"/>
    </font>
    <font>
      <b/>
      <sz val="12"/>
      <color theme="1"/>
      <name val="Calibri (Corps)"/>
    </font>
    <font>
      <i/>
      <sz val="12"/>
      <name val="Calibri"/>
      <family val="2"/>
      <scheme val="minor"/>
    </font>
    <font>
      <sz val="12"/>
      <color rgb="FFFF0000"/>
      <name val="Calibri"/>
      <family val="2"/>
      <scheme val="minor"/>
    </font>
    <font>
      <sz val="18"/>
      <color theme="0"/>
      <name val="Calibri (Corps)"/>
    </font>
    <font>
      <sz val="18"/>
      <color theme="0"/>
      <name val="Calibri"/>
      <family val="2"/>
      <scheme val="minor"/>
    </font>
    <font>
      <b/>
      <sz val="12"/>
      <color theme="0"/>
      <name val="Calibri (Corps)"/>
    </font>
    <font>
      <sz val="12"/>
      <color theme="0"/>
      <name val="Calibri"/>
      <family val="2"/>
      <scheme val="minor"/>
    </font>
    <font>
      <b/>
      <u/>
      <sz val="12"/>
      <color theme="0"/>
      <name val="Calibri (Corps)"/>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5"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16">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horizontal="center"/>
    </xf>
    <xf numFmtId="0" fontId="0" fillId="0" borderId="0" xfId="0" applyAlignment="1">
      <alignment horizontal="center"/>
    </xf>
    <xf numFmtId="0" fontId="0" fillId="0" borderId="2" xfId="0" applyBorder="1"/>
    <xf numFmtId="0" fontId="10" fillId="0" borderId="0" xfId="0" applyFont="1" applyAlignment="1">
      <alignment horizontal="left" vertical="top"/>
    </xf>
    <xf numFmtId="0" fontId="11" fillId="0" borderId="2" xfId="0" applyFont="1" applyBorder="1" applyAlignment="1">
      <alignment horizontal="left" vertical="top"/>
    </xf>
    <xf numFmtId="0" fontId="12" fillId="0" borderId="2" xfId="0" applyFont="1" applyBorder="1" applyAlignment="1">
      <alignment horizontal="left" vertical="top"/>
    </xf>
    <xf numFmtId="0" fontId="12" fillId="0" borderId="0" xfId="0" applyFont="1" applyAlignment="1">
      <alignment horizontal="left" vertical="top"/>
    </xf>
    <xf numFmtId="0" fontId="14" fillId="0" borderId="0" xfId="0" applyFont="1" applyAlignment="1">
      <alignment horizontal="left" vertical="top"/>
    </xf>
    <xf numFmtId="49" fontId="10" fillId="0" borderId="0" xfId="0" applyNumberFormat="1" applyFont="1" applyFill="1" applyBorder="1" applyAlignment="1">
      <alignment horizontal="left" vertical="top"/>
    </xf>
    <xf numFmtId="0" fontId="4" fillId="0" borderId="0" xfId="0" applyFont="1" applyAlignment="1">
      <alignment horizontal="left" vertical="top" wrapText="1"/>
    </xf>
    <xf numFmtId="0" fontId="15" fillId="0" borderId="0" xfId="0" applyFont="1" applyAlignment="1">
      <alignment horizontal="left" vertical="top" wrapText="1"/>
    </xf>
    <xf numFmtId="49" fontId="10" fillId="0" borderId="0" xfId="0" applyNumberFormat="1" applyFont="1" applyFill="1" applyBorder="1" applyAlignment="1">
      <alignment vertical="top"/>
    </xf>
    <xf numFmtId="164" fontId="0" fillId="0" borderId="0" xfId="0" applyNumberFormat="1" applyFont="1" applyFill="1" applyBorder="1" applyAlignment="1">
      <alignment horizontal="right" vertical="top"/>
    </xf>
    <xf numFmtId="0" fontId="0" fillId="0" borderId="0" xfId="0" applyFont="1" applyFill="1" applyBorder="1"/>
    <xf numFmtId="0" fontId="14" fillId="0" borderId="2" xfId="0" applyFont="1" applyBorder="1" applyAlignment="1">
      <alignment horizontal="left" vertical="top"/>
    </xf>
    <xf numFmtId="49" fontId="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Alignment="1">
      <alignment horizontal="left"/>
    </xf>
    <xf numFmtId="49" fontId="10" fillId="2" borderId="3" xfId="0" applyNumberFormat="1" applyFont="1" applyFill="1" applyBorder="1" applyAlignment="1">
      <alignment horizontal="left" vertical="top"/>
    </xf>
    <xf numFmtId="164" fontId="0" fillId="0" borderId="0" xfId="0" applyNumberFormat="1" applyFont="1" applyFill="1" applyBorder="1" applyAlignment="1">
      <alignment vertical="top" wrapText="1"/>
    </xf>
    <xf numFmtId="3" fontId="10" fillId="2" borderId="1" xfId="1" applyNumberFormat="1" applyFont="1" applyFill="1" applyBorder="1" applyAlignment="1">
      <alignment horizontal="right" vertical="top"/>
    </xf>
    <xf numFmtId="0" fontId="2" fillId="0" borderId="0" xfId="0" applyFont="1" applyAlignment="1">
      <alignment horizontal="left" vertical="center"/>
    </xf>
    <xf numFmtId="49" fontId="3" fillId="2" borderId="3" xfId="1" applyNumberFormat="1" applyFill="1" applyBorder="1" applyAlignment="1">
      <alignment horizontal="left" vertical="top"/>
    </xf>
    <xf numFmtId="0" fontId="5" fillId="0" borderId="0" xfId="0" applyFont="1" applyAlignment="1">
      <alignment horizontal="left"/>
    </xf>
    <xf numFmtId="0" fontId="5" fillId="0" borderId="0" xfId="0" applyFont="1"/>
    <xf numFmtId="0" fontId="6" fillId="0" borderId="0" xfId="0" applyFont="1" applyBorder="1" applyAlignment="1">
      <alignment horizontal="left" vertical="top"/>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18" fillId="0" borderId="0" xfId="0" applyFont="1" applyBorder="1" applyAlignment="1">
      <alignment vertical="center"/>
    </xf>
    <xf numFmtId="0" fontId="16" fillId="0" borderId="0" xfId="0" applyFont="1"/>
    <xf numFmtId="14" fontId="16" fillId="2" borderId="1" xfId="0" applyNumberFormat="1"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top" wrapText="1"/>
    </xf>
    <xf numFmtId="0" fontId="23" fillId="0" borderId="13" xfId="0" applyFont="1" applyBorder="1" applyAlignment="1">
      <alignment wrapText="1"/>
    </xf>
    <xf numFmtId="165" fontId="10" fillId="2" borderId="1" xfId="0" applyNumberFormat="1" applyFont="1" applyFill="1" applyBorder="1" applyAlignment="1">
      <alignment horizontal="left" vertical="center"/>
    </xf>
    <xf numFmtId="0" fontId="4" fillId="0" borderId="0" xfId="0" applyFont="1" applyBorder="1" applyAlignment="1">
      <alignment horizontal="left" vertical="center" wrapText="1"/>
    </xf>
    <xf numFmtId="0" fontId="13" fillId="0" borderId="0" xfId="0" applyFont="1" applyBorder="1" applyAlignment="1">
      <alignment horizontal="left" vertical="top"/>
    </xf>
    <xf numFmtId="0" fontId="12" fillId="0" borderId="0" xfId="0" applyFont="1" applyBorder="1" applyAlignment="1">
      <alignment horizontal="left" vertical="top"/>
    </xf>
    <xf numFmtId="0" fontId="5" fillId="0" borderId="2" xfId="0" applyFont="1" applyBorder="1"/>
    <xf numFmtId="0" fontId="0" fillId="3" borderId="1" xfId="0" applyFont="1" applyFill="1" applyBorder="1" applyAlignment="1">
      <alignment horizontal="left" vertical="center" wrapText="1"/>
    </xf>
    <xf numFmtId="0" fontId="0" fillId="0" borderId="16" xfId="0" applyFont="1" applyBorder="1" applyAlignment="1">
      <alignment vertical="center" wrapText="1"/>
    </xf>
    <xf numFmtId="3" fontId="10" fillId="3" borderId="9" xfId="0" applyNumberFormat="1" applyFont="1" applyFill="1" applyBorder="1" applyAlignment="1">
      <alignment horizontal="right" vertical="top"/>
    </xf>
    <xf numFmtId="0" fontId="5" fillId="0" borderId="15" xfId="0" applyFont="1" applyBorder="1" applyAlignment="1">
      <alignment vertical="center" wrapText="1"/>
    </xf>
    <xf numFmtId="3" fontId="10" fillId="3" borderId="17" xfId="1" applyNumberFormat="1" applyFont="1" applyFill="1" applyBorder="1" applyAlignment="1">
      <alignment horizontal="right" vertical="top"/>
    </xf>
    <xf numFmtId="0" fontId="0" fillId="0" borderId="18" xfId="0" applyFont="1" applyBorder="1" applyAlignment="1">
      <alignment vertical="center" wrapText="1"/>
    </xf>
    <xf numFmtId="3" fontId="10" fillId="2" borderId="12" xfId="1" applyNumberFormat="1" applyFont="1" applyFill="1" applyBorder="1" applyAlignment="1">
      <alignment horizontal="right" vertical="top"/>
    </xf>
    <xf numFmtId="3" fontId="10" fillId="3" borderId="25" xfId="1" applyNumberFormat="1" applyFont="1" applyFill="1" applyBorder="1" applyAlignment="1">
      <alignment horizontal="right" vertical="top"/>
    </xf>
    <xf numFmtId="0" fontId="0" fillId="3" borderId="3" xfId="0" applyFont="1" applyFill="1" applyBorder="1" applyAlignment="1">
      <alignment horizontal="left" vertical="center" wrapText="1"/>
    </xf>
    <xf numFmtId="3" fontId="10" fillId="3" borderId="1" xfId="0" applyNumberFormat="1" applyFont="1" applyFill="1" applyBorder="1" applyAlignment="1">
      <alignment horizontal="right" vertical="center" wrapText="1"/>
    </xf>
    <xf numFmtId="0" fontId="11" fillId="0" borderId="2" xfId="0" applyFont="1" applyBorder="1"/>
    <xf numFmtId="49" fontId="10" fillId="2" borderId="1" xfId="0" applyNumberFormat="1" applyFont="1" applyFill="1" applyBorder="1" applyAlignment="1">
      <alignment horizontal="left" vertical="top"/>
    </xf>
    <xf numFmtId="0" fontId="4" fillId="0" borderId="0" xfId="0" applyFont="1" applyAlignment="1">
      <alignment horizontal="left" vertical="top"/>
    </xf>
    <xf numFmtId="17" fontId="5" fillId="0" borderId="14" xfId="0" applyNumberFormat="1" applyFont="1" applyBorder="1" applyAlignment="1">
      <alignment vertical="center" wrapText="1"/>
    </xf>
    <xf numFmtId="0" fontId="22" fillId="0" borderId="0" xfId="0" applyFont="1" applyBorder="1" applyAlignment="1">
      <alignment horizontal="left"/>
    </xf>
    <xf numFmtId="0" fontId="24" fillId="0" borderId="0" xfId="0" applyFont="1" applyBorder="1" applyAlignment="1">
      <alignment vertical="center"/>
    </xf>
    <xf numFmtId="0" fontId="11" fillId="0" borderId="2" xfId="0" applyFont="1" applyBorder="1" applyAlignment="1">
      <alignment horizontal="right" vertical="top"/>
    </xf>
    <xf numFmtId="49" fontId="10" fillId="2" borderId="9" xfId="0" applyNumberFormat="1" applyFont="1" applyFill="1" applyBorder="1" applyAlignment="1">
      <alignment horizontal="left" vertical="top"/>
    </xf>
    <xf numFmtId="49" fontId="0" fillId="2" borderId="1" xfId="0" applyNumberFormat="1" applyFont="1" applyFill="1" applyBorder="1" applyAlignment="1">
      <alignment horizontal="center" vertical="center"/>
    </xf>
    <xf numFmtId="0" fontId="11" fillId="0" borderId="0" xfId="0" applyFont="1" applyBorder="1"/>
    <xf numFmtId="0" fontId="11" fillId="0" borderId="0" xfId="0" applyFont="1" applyAlignment="1">
      <alignment horizontal="left" vertical="top"/>
    </xf>
    <xf numFmtId="0" fontId="5" fillId="0" borderId="0" xfId="0" applyFont="1" applyBorder="1"/>
    <xf numFmtId="0" fontId="0" fillId="0" borderId="0" xfId="0" applyBorder="1"/>
    <xf numFmtId="49" fontId="0" fillId="2" borderId="1" xfId="1" applyNumberFormat="1" applyFont="1" applyFill="1" applyBorder="1" applyAlignment="1">
      <alignment horizontal="left" vertical="top"/>
    </xf>
    <xf numFmtId="3" fontId="0" fillId="2" borderId="1" xfId="0" applyNumberFormat="1" applyFont="1" applyFill="1" applyBorder="1" applyAlignment="1">
      <alignment vertical="center" wrapText="1"/>
    </xf>
    <xf numFmtId="3" fontId="0" fillId="2" borderId="33" xfId="0" applyNumberFormat="1" applyFont="1" applyFill="1" applyBorder="1" applyAlignment="1">
      <alignment vertical="center" wrapText="1"/>
    </xf>
    <xf numFmtId="0" fontId="26" fillId="0" borderId="0" xfId="0" applyFont="1" applyAlignment="1">
      <alignment horizontal="left" vertical="top"/>
    </xf>
    <xf numFmtId="0" fontId="14" fillId="0" borderId="0" xfId="0" applyFont="1" applyAlignment="1">
      <alignment horizontal="left" vertical="top"/>
    </xf>
    <xf numFmtId="0" fontId="11" fillId="0" borderId="0" xfId="0" applyFont="1" applyBorder="1" applyAlignment="1">
      <alignment horizontal="left" vertical="top"/>
    </xf>
    <xf numFmtId="0" fontId="11" fillId="0" borderId="8" xfId="0" applyFont="1" applyBorder="1" applyAlignment="1">
      <alignment horizontal="left" vertical="top"/>
    </xf>
    <xf numFmtId="0" fontId="0" fillId="0" borderId="8" xfId="0" applyBorder="1"/>
    <xf numFmtId="0" fontId="8" fillId="0" borderId="0" xfId="0" applyFont="1" applyBorder="1" applyAlignment="1">
      <alignment horizontal="left" vertical="top"/>
    </xf>
    <xf numFmtId="165" fontId="10" fillId="0" borderId="0" xfId="0" applyNumberFormat="1" applyFont="1" applyFill="1" applyBorder="1" applyAlignment="1">
      <alignment horizontal="left" vertical="center"/>
    </xf>
    <xf numFmtId="0" fontId="10" fillId="0" borderId="0" xfId="0" applyFont="1" applyFill="1" applyAlignment="1">
      <alignment horizontal="left" vertical="top"/>
    </xf>
    <xf numFmtId="0" fontId="10" fillId="0" borderId="0" xfId="0" applyFont="1"/>
    <xf numFmtId="3" fontId="10" fillId="3" borderId="10" xfId="0" applyNumberFormat="1" applyFont="1" applyFill="1" applyBorder="1" applyAlignment="1">
      <alignment horizontal="right" vertical="center" wrapText="1"/>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36" xfId="0" applyFont="1" applyBorder="1" applyAlignment="1">
      <alignment horizontal="left" vertical="top"/>
    </xf>
    <xf numFmtId="0" fontId="10" fillId="0" borderId="44" xfId="0" applyFont="1" applyBorder="1" applyAlignment="1">
      <alignment horizontal="left" vertical="top"/>
    </xf>
    <xf numFmtId="0" fontId="0" fillId="0" borderId="44" xfId="0" applyBorder="1"/>
    <xf numFmtId="0" fontId="14" fillId="0" borderId="36" xfId="0" applyFont="1" applyBorder="1" applyAlignment="1">
      <alignment horizontal="left" vertical="top"/>
    </xf>
    <xf numFmtId="0" fontId="0" fillId="0" borderId="0" xfId="0" applyBorder="1" applyAlignment="1">
      <alignment horizontal="left" vertical="top"/>
    </xf>
    <xf numFmtId="49" fontId="0" fillId="0" borderId="36" xfId="0" applyNumberFormat="1" applyFont="1" applyFill="1" applyBorder="1" applyAlignment="1">
      <alignment horizontal="left" vertical="top"/>
    </xf>
    <xf numFmtId="0" fontId="11" fillId="0" borderId="36" xfId="0" applyFont="1" applyBorder="1" applyAlignment="1">
      <alignment horizontal="left" vertical="top"/>
    </xf>
    <xf numFmtId="0" fontId="11" fillId="0" borderId="0" xfId="0" applyFont="1" applyAlignment="1">
      <alignment horizontal="left" vertical="top" wrapText="1"/>
    </xf>
    <xf numFmtId="0" fontId="27" fillId="0" borderId="0" xfId="0" applyFont="1" applyAlignment="1">
      <alignment horizontal="left" vertical="top"/>
    </xf>
    <xf numFmtId="0" fontId="20" fillId="4" borderId="1" xfId="0" applyFont="1" applyFill="1" applyBorder="1" applyAlignment="1">
      <alignment horizontal="left"/>
    </xf>
    <xf numFmtId="49" fontId="10" fillId="2" borderId="1" xfId="0" applyNumberFormat="1" applyFont="1" applyFill="1" applyBorder="1" applyAlignment="1">
      <alignment horizontal="left" vertical="top"/>
    </xf>
    <xf numFmtId="0" fontId="5" fillId="0" borderId="0" xfId="0" applyFont="1" applyAlignment="1">
      <alignment horizontal="left" vertical="top"/>
    </xf>
    <xf numFmtId="0" fontId="31"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5" borderId="0" xfId="0" applyFill="1"/>
    <xf numFmtId="14" fontId="0" fillId="0" borderId="0" xfId="0" applyNumberFormat="1"/>
    <xf numFmtId="0" fontId="14" fillId="0" borderId="0" xfId="0" applyFont="1"/>
    <xf numFmtId="0" fontId="32" fillId="0" borderId="0" xfId="0" applyFont="1"/>
    <xf numFmtId="49" fontId="1" fillId="0" borderId="0" xfId="0" applyNumberFormat="1" applyFont="1"/>
    <xf numFmtId="49" fontId="0" fillId="0" borderId="0" xfId="0" applyNumberFormat="1"/>
    <xf numFmtId="0" fontId="0" fillId="0" borderId="24" xfId="0" applyBorder="1"/>
    <xf numFmtId="0" fontId="4" fillId="0" borderId="0" xfId="0" applyFont="1" applyAlignment="1">
      <alignment horizontal="left" vertical="top"/>
    </xf>
    <xf numFmtId="49" fontId="10" fillId="2" borderId="1" xfId="0" applyNumberFormat="1" applyFont="1" applyFill="1" applyBorder="1" applyAlignment="1">
      <alignment horizontal="left" vertical="top"/>
    </xf>
    <xf numFmtId="0" fontId="36" fillId="0" borderId="0" xfId="0" applyFont="1" applyFill="1" applyAlignment="1">
      <alignment horizontal="left" vertical="top"/>
    </xf>
    <xf numFmtId="0" fontId="0" fillId="0" borderId="0" xfId="0" applyFill="1"/>
    <xf numFmtId="0" fontId="39" fillId="6" borderId="37" xfId="0" applyFont="1" applyFill="1" applyBorder="1" applyAlignment="1">
      <alignment vertical="center"/>
    </xf>
    <xf numFmtId="0" fontId="40" fillId="6" borderId="2" xfId="0" applyFont="1" applyFill="1" applyBorder="1" applyAlignment="1">
      <alignment vertical="center"/>
    </xf>
    <xf numFmtId="0" fontId="40" fillId="6" borderId="40" xfId="0" applyFont="1" applyFill="1" applyBorder="1" applyAlignment="1">
      <alignment vertical="center"/>
    </xf>
    <xf numFmtId="0" fontId="17" fillId="0" borderId="0" xfId="0" applyFont="1" applyAlignment="1">
      <alignment horizontal="left" vertical="top" wrapText="1"/>
    </xf>
    <xf numFmtId="0" fontId="17" fillId="0" borderId="10" xfId="0" applyFont="1" applyBorder="1" applyAlignment="1">
      <alignment horizontal="left" vertical="top" wrapText="1"/>
    </xf>
    <xf numFmtId="49" fontId="10" fillId="2" borderId="5" xfId="0" applyNumberFormat="1" applyFont="1" applyFill="1" applyBorder="1" applyAlignment="1">
      <alignment horizontal="left" vertical="top"/>
    </xf>
    <xf numFmtId="49" fontId="10" fillId="2" borderId="6" xfId="0" applyNumberFormat="1" applyFont="1" applyFill="1" applyBorder="1" applyAlignment="1">
      <alignment horizontal="left" vertical="top"/>
    </xf>
    <xf numFmtId="49" fontId="10" fillId="2" borderId="7" xfId="0" applyNumberFormat="1" applyFont="1" applyFill="1" applyBorder="1" applyAlignment="1">
      <alignment horizontal="left" vertical="top"/>
    </xf>
    <xf numFmtId="49" fontId="3" fillId="2" borderId="5" xfId="1" applyNumberFormat="1" applyFill="1" applyBorder="1" applyAlignment="1">
      <alignment horizontal="left" vertical="top"/>
    </xf>
    <xf numFmtId="49" fontId="3" fillId="2" borderId="6" xfId="1" applyNumberFormat="1" applyFill="1" applyBorder="1" applyAlignment="1">
      <alignment horizontal="left" vertical="top"/>
    </xf>
    <xf numFmtId="49" fontId="3" fillId="2" borderId="7" xfId="1" applyNumberFormat="1" applyFill="1" applyBorder="1" applyAlignment="1">
      <alignment horizontal="left" vertical="top"/>
    </xf>
    <xf numFmtId="0" fontId="0" fillId="0" borderId="0" xfId="0" applyFont="1" applyBorder="1" applyAlignment="1">
      <alignment horizontal="left" vertical="top" wrapText="1"/>
    </xf>
    <xf numFmtId="0" fontId="0" fillId="0" borderId="0" xfId="0" applyBorder="1" applyAlignment="1"/>
    <xf numFmtId="0" fontId="0" fillId="0" borderId="0" xfId="0" applyFont="1" applyFill="1" applyAlignment="1">
      <alignment horizontal="left" vertical="top" wrapText="1"/>
    </xf>
    <xf numFmtId="0" fontId="0" fillId="0" borderId="10" xfId="0" applyFill="1" applyBorder="1" applyAlignment="1"/>
    <xf numFmtId="14" fontId="0" fillId="2" borderId="1" xfId="0" applyNumberFormat="1" applyFont="1" applyFill="1" applyBorder="1" applyAlignment="1">
      <alignment horizontal="center" vertical="center"/>
    </xf>
    <xf numFmtId="0" fontId="9" fillId="0" borderId="0" xfId="0" applyFont="1" applyBorder="1" applyAlignment="1">
      <alignment vertical="center" wrapText="1"/>
    </xf>
    <xf numFmtId="0" fontId="0" fillId="0" borderId="0" xfId="0" applyFont="1" applyAlignment="1">
      <alignment vertical="center" wrapText="1"/>
    </xf>
    <xf numFmtId="0" fontId="16" fillId="0" borderId="39" xfId="0" applyFont="1" applyFill="1" applyBorder="1" applyAlignment="1">
      <alignment horizontal="left" vertical="top"/>
    </xf>
    <xf numFmtId="0" fontId="20" fillId="0" borderId="0" xfId="0" applyFont="1" applyFill="1" applyAlignment="1">
      <alignment horizontal="left" vertical="top"/>
    </xf>
    <xf numFmtId="0" fontId="4" fillId="0" borderId="0" xfId="0" applyFont="1" applyBorder="1" applyAlignment="1">
      <alignment horizontal="left" vertical="center" wrapText="1"/>
    </xf>
    <xf numFmtId="0" fontId="0" fillId="0" borderId="0" xfId="0" applyAlignment="1">
      <alignment horizontal="left" wrapText="1"/>
    </xf>
    <xf numFmtId="17" fontId="1" fillId="0" borderId="47" xfId="0" applyNumberFormat="1" applyFont="1" applyBorder="1" applyAlignment="1">
      <alignment horizontal="center" vertical="center"/>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25" xfId="0" applyFont="1" applyBorder="1" applyAlignment="1">
      <alignment horizontal="center" vertical="center"/>
    </xf>
    <xf numFmtId="49" fontId="16" fillId="2" borderId="1" xfId="0" applyNumberFormat="1" applyFont="1" applyFill="1" applyBorder="1" applyAlignment="1">
      <alignment horizontal="left" vertical="top"/>
    </xf>
    <xf numFmtId="0" fontId="4" fillId="0" borderId="0" xfId="0" applyFont="1" applyAlignment="1">
      <alignment horizontal="left" vertical="top"/>
    </xf>
    <xf numFmtId="49" fontId="10" fillId="2" borderId="1" xfId="0" applyNumberFormat="1" applyFont="1" applyFill="1" applyBorder="1" applyAlignment="1">
      <alignment horizontal="left" vertical="top"/>
    </xf>
    <xf numFmtId="0" fontId="0" fillId="0" borderId="0" xfId="0" applyFill="1" applyAlignment="1">
      <alignment wrapText="1"/>
    </xf>
    <xf numFmtId="0" fontId="0" fillId="0" borderId="10" xfId="0" applyFill="1" applyBorder="1" applyAlignment="1">
      <alignment wrapText="1"/>
    </xf>
    <xf numFmtId="0" fontId="0" fillId="0" borderId="0" xfId="0" applyFont="1" applyAlignment="1">
      <alignment horizontal="left" vertical="top" wrapText="1"/>
    </xf>
    <xf numFmtId="0" fontId="0" fillId="0" borderId="0" xfId="0" applyAlignment="1">
      <alignment wrapText="1"/>
    </xf>
    <xf numFmtId="0" fontId="0" fillId="0" borderId="10" xfId="0" applyBorder="1" applyAlignment="1">
      <alignment wrapText="1"/>
    </xf>
    <xf numFmtId="0" fontId="11" fillId="0" borderId="0" xfId="0" applyFont="1" applyAlignment="1">
      <alignment horizontal="left" vertical="top" wrapText="1"/>
    </xf>
    <xf numFmtId="0" fontId="29" fillId="0" borderId="0" xfId="0" applyFont="1" applyAlignment="1">
      <alignment horizontal="left" vertical="top" wrapText="1"/>
    </xf>
    <xf numFmtId="3" fontId="0" fillId="2" borderId="1" xfId="0" applyNumberFormat="1" applyFill="1" applyBorder="1" applyAlignment="1">
      <alignment horizontal="right"/>
    </xf>
    <xf numFmtId="3" fontId="0" fillId="2" borderId="17" xfId="0" applyNumberFormat="1" applyFill="1" applyBorder="1" applyAlignment="1">
      <alignment horizontal="right"/>
    </xf>
    <xf numFmtId="0" fontId="20" fillId="0" borderId="5" xfId="0" applyFont="1" applyBorder="1" applyAlignment="1">
      <alignment horizontal="left" wrapText="1"/>
    </xf>
    <xf numFmtId="0" fontId="20" fillId="0" borderId="6" xfId="0" applyFont="1" applyBorder="1" applyAlignment="1">
      <alignment horizontal="left"/>
    </xf>
    <xf numFmtId="0" fontId="20" fillId="0" borderId="7" xfId="0" applyFont="1" applyBorder="1" applyAlignment="1">
      <alignment horizontal="left"/>
    </xf>
    <xf numFmtId="3" fontId="0" fillId="2" borderId="3" xfId="0" applyNumberFormat="1" applyFill="1" applyBorder="1" applyAlignment="1">
      <alignment horizontal="right"/>
    </xf>
    <xf numFmtId="3" fontId="0" fillId="2" borderId="30" xfId="0" applyNumberFormat="1" applyFill="1" applyBorder="1" applyAlignment="1">
      <alignment horizontal="right"/>
    </xf>
    <xf numFmtId="0" fontId="1" fillId="0" borderId="18" xfId="0" applyFont="1" applyBorder="1" applyAlignment="1">
      <alignment horizontal="center" vertical="center"/>
    </xf>
    <xf numFmtId="0" fontId="20" fillId="0" borderId="0" xfId="0" applyFont="1" applyAlignment="1">
      <alignment horizontal="left"/>
    </xf>
    <xf numFmtId="3" fontId="0" fillId="2" borderId="12" xfId="0" applyNumberFormat="1" applyFill="1" applyBorder="1" applyAlignment="1">
      <alignment horizontal="right"/>
    </xf>
    <xf numFmtId="3" fontId="0" fillId="2" borderId="25" xfId="0" applyNumberFormat="1" applyFill="1" applyBorder="1" applyAlignment="1">
      <alignment horizontal="right"/>
    </xf>
    <xf numFmtId="0" fontId="22" fillId="0" borderId="45"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4" fillId="0" borderId="41" xfId="0" applyFont="1" applyBorder="1" applyAlignment="1">
      <alignment horizontal="left" vertical="top"/>
    </xf>
    <xf numFmtId="0" fontId="0" fillId="0" borderId="42" xfId="0" applyBorder="1" applyAlignment="1">
      <alignment horizontal="left" vertical="top"/>
    </xf>
    <xf numFmtId="0" fontId="12" fillId="0" borderId="36" xfId="0" applyFont="1" applyBorder="1" applyAlignment="1">
      <alignment horizontal="left" vertical="top" wrapText="1"/>
    </xf>
    <xf numFmtId="0" fontId="0" fillId="0" borderId="0" xfId="0" applyBorder="1" applyAlignment="1">
      <alignment wrapText="1"/>
    </xf>
    <xf numFmtId="0" fontId="0" fillId="0" borderId="44" xfId="0" applyBorder="1" applyAlignment="1">
      <alignment wrapText="1"/>
    </xf>
    <xf numFmtId="0" fontId="12" fillId="0" borderId="21" xfId="0" applyFont="1" applyBorder="1" applyAlignment="1">
      <alignment horizontal="left" vertical="top" wrapText="1"/>
    </xf>
    <xf numFmtId="0" fontId="0" fillId="0" borderId="24" xfId="0" applyBorder="1" applyAlignment="1">
      <alignment wrapText="1"/>
    </xf>
    <xf numFmtId="0" fontId="0" fillId="0" borderId="46" xfId="0" applyBorder="1" applyAlignment="1">
      <alignment wrapText="1"/>
    </xf>
    <xf numFmtId="49" fontId="0" fillId="2" borderId="5" xfId="1" applyNumberFormat="1" applyFont="1" applyFill="1" applyBorder="1" applyAlignment="1">
      <alignment horizontal="center" vertical="center"/>
    </xf>
    <xf numFmtId="49" fontId="0" fillId="2" borderId="7" xfId="1" applyNumberFormat="1" applyFont="1" applyFill="1" applyBorder="1" applyAlignment="1">
      <alignment horizontal="center" vertical="center"/>
    </xf>
    <xf numFmtId="3" fontId="0" fillId="2" borderId="5" xfId="0" applyNumberFormat="1" applyFill="1" applyBorder="1" applyAlignment="1">
      <alignment horizontal="right"/>
    </xf>
    <xf numFmtId="3" fontId="0" fillId="2" borderId="20" xfId="0" applyNumberFormat="1" applyFill="1" applyBorder="1" applyAlignment="1">
      <alignment horizontal="right"/>
    </xf>
    <xf numFmtId="3" fontId="0" fillId="3" borderId="11" xfId="0" applyNumberFormat="1" applyFill="1" applyBorder="1" applyAlignment="1">
      <alignment horizontal="center"/>
    </xf>
    <xf numFmtId="3" fontId="0" fillId="3" borderId="19" xfId="0" applyNumberFormat="1" applyFill="1" applyBorder="1" applyAlignment="1">
      <alignment horizontal="center"/>
    </xf>
    <xf numFmtId="3" fontId="0" fillId="2" borderId="26" xfId="0" applyNumberFormat="1" applyFill="1" applyBorder="1" applyAlignment="1">
      <alignment horizontal="right"/>
    </xf>
    <xf numFmtId="3" fontId="0" fillId="2" borderId="28" xfId="0" applyNumberFormat="1" applyFill="1" applyBorder="1" applyAlignment="1">
      <alignment horizontal="right"/>
    </xf>
    <xf numFmtId="3" fontId="0" fillId="2" borderId="14" xfId="0" applyNumberFormat="1" applyFill="1" applyBorder="1" applyAlignment="1">
      <alignment horizontal="right"/>
    </xf>
    <xf numFmtId="3" fontId="0" fillId="2" borderId="15" xfId="0" applyNumberFormat="1" applyFill="1" applyBorder="1" applyAlignment="1">
      <alignment horizontal="right"/>
    </xf>
    <xf numFmtId="3" fontId="0" fillId="2" borderId="4" xfId="0" applyNumberFormat="1" applyFill="1" applyBorder="1" applyAlignment="1">
      <alignment horizontal="right"/>
    </xf>
    <xf numFmtId="3" fontId="0" fillId="2" borderId="23" xfId="0" applyNumberFormat="1" applyFill="1" applyBorder="1" applyAlignment="1">
      <alignment horizontal="right"/>
    </xf>
    <xf numFmtId="0" fontId="0" fillId="0" borderId="5" xfId="0" applyBorder="1" applyAlignment="1">
      <alignment horizontal="left"/>
    </xf>
    <xf numFmtId="0" fontId="20" fillId="0" borderId="26" xfId="0" applyFont="1" applyBorder="1" applyAlignment="1">
      <alignment horizontal="left"/>
    </xf>
    <xf numFmtId="0" fontId="20" fillId="0" borderId="27" xfId="0" applyFont="1" applyBorder="1" applyAlignment="1">
      <alignment horizontal="left"/>
    </xf>
    <xf numFmtId="0" fontId="20" fillId="0" borderId="34" xfId="0" applyFont="1" applyBorder="1" applyAlignment="1">
      <alignment horizontal="left"/>
    </xf>
    <xf numFmtId="0" fontId="0" fillId="0" borderId="26" xfId="0" applyBorder="1" applyAlignment="1">
      <alignment horizontal="left" vertical="top"/>
    </xf>
    <xf numFmtId="0" fontId="0" fillId="0" borderId="27" xfId="0" applyBorder="1" applyAlignment="1">
      <alignment horizontal="left" vertical="top"/>
    </xf>
    <xf numFmtId="0" fontId="0" fillId="0" borderId="34" xfId="0" applyBorder="1" applyAlignment="1">
      <alignment horizontal="left" vertical="top"/>
    </xf>
    <xf numFmtId="0" fontId="0" fillId="0" borderId="1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34" xfId="0" applyBorder="1" applyAlignment="1">
      <alignment horizontal="left"/>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1" fillId="0" borderId="2" xfId="0" applyFont="1" applyBorder="1"/>
    <xf numFmtId="0" fontId="0" fillId="0" borderId="2" xfId="0" applyFont="1" applyBorder="1" applyAlignment="1">
      <alignment horizontal="left" vertical="top" wrapText="1"/>
    </xf>
    <xf numFmtId="0" fontId="37" fillId="6" borderId="38" xfId="0" applyFont="1" applyFill="1" applyBorder="1" applyAlignment="1">
      <alignment vertical="center"/>
    </xf>
    <xf numFmtId="0" fontId="38" fillId="6" borderId="8" xfId="0" applyFont="1" applyFill="1" applyBorder="1" applyAlignment="1">
      <alignment vertical="center"/>
    </xf>
    <xf numFmtId="0" fontId="38" fillId="6" borderId="35" xfId="0" applyFont="1" applyFill="1" applyBorder="1" applyAlignment="1">
      <alignment vertical="center"/>
    </xf>
    <xf numFmtId="0" fontId="1" fillId="0" borderId="13"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22" xfId="0" applyFont="1" applyBorder="1" applyAlignment="1">
      <alignment horizontal="left" vertical="center"/>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1" fillId="0" borderId="29" xfId="0" applyFont="1" applyBorder="1" applyAlignment="1">
      <alignment horizontal="left" vertical="center"/>
    </xf>
    <xf numFmtId="0" fontId="28" fillId="0" borderId="29" xfId="0" applyFont="1" applyBorder="1" applyAlignment="1">
      <alignment horizontal="left" vertical="center"/>
    </xf>
    <xf numFmtId="0" fontId="28" fillId="0" borderId="16" xfId="0" applyFont="1" applyBorder="1" applyAlignment="1">
      <alignment horizontal="left" vertical="center"/>
    </xf>
    <xf numFmtId="0" fontId="20" fillId="0" borderId="5" xfId="0" applyFont="1" applyBorder="1" applyAlignment="1">
      <alignment horizontal="left"/>
    </xf>
    <xf numFmtId="3" fontId="0" fillId="2" borderId="11" xfId="0" applyNumberFormat="1" applyFill="1" applyBorder="1" applyAlignment="1">
      <alignment horizontal="right"/>
    </xf>
    <xf numFmtId="3" fontId="0" fillId="2" borderId="19" xfId="0" applyNumberFormat="1" applyFill="1" applyBorder="1" applyAlignment="1">
      <alignment horizontal="right"/>
    </xf>
    <xf numFmtId="0" fontId="35" fillId="0" borderId="0" xfId="0" applyFont="1" applyBorder="1" applyAlignment="1">
      <alignment horizontal="left" vertical="top" wrapText="1"/>
    </xf>
    <xf numFmtId="0" fontId="20" fillId="0" borderId="0" xfId="0" applyFont="1" applyAlignment="1">
      <alignment wrapText="1"/>
    </xf>
  </cellXfs>
  <cellStyles count="2">
    <cellStyle name="Link" xfId="1" builtinId="8"/>
    <cellStyle name="Standard" xfId="0" builtinId="0"/>
  </cellStyles>
  <dxfs count="9">
    <dxf>
      <font>
        <color rgb="FFFF0000"/>
      </font>
    </dxf>
    <dxf>
      <font>
        <color auto="1"/>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B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47624</xdr:rowOff>
    </xdr:from>
    <xdr:to>
      <xdr:col>1</xdr:col>
      <xdr:colOff>1181100</xdr:colOff>
      <xdr:row>1</xdr:row>
      <xdr:rowOff>609599</xdr:rowOff>
    </xdr:to>
    <xdr:pic>
      <xdr:nvPicPr>
        <xdr:cNvPr id="2" name="Image 1">
          <a:extLst>
            <a:ext uri="{FF2B5EF4-FFF2-40B4-BE49-F238E27FC236}">
              <a16:creationId xmlns:a16="http://schemas.microsoft.com/office/drawing/2014/main" id="{3DD4B92C-BA1A-4B06-BF60-A10B23CFE883}"/>
            </a:ext>
          </a:extLst>
        </xdr:cNvPr>
        <xdr:cNvPicPr>
          <a:picLocks noChangeAspect="1"/>
        </xdr:cNvPicPr>
      </xdr:nvPicPr>
      <xdr:blipFill rotWithShape="1">
        <a:blip xmlns:r="http://schemas.openxmlformats.org/officeDocument/2006/relationships" r:embed="rId1"/>
        <a:srcRect l="8365" t="13229" r="6585" b="15815"/>
        <a:stretch/>
      </xdr:blipFill>
      <xdr:spPr>
        <a:xfrm>
          <a:off x="266700" y="238124"/>
          <a:ext cx="1162050" cy="561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36"/>
  <sheetViews>
    <sheetView tabSelected="1" topLeftCell="A109" zoomScale="80" zoomScaleNormal="80" workbookViewId="0">
      <selection activeCell="C130" sqref="C130:M130"/>
    </sheetView>
  </sheetViews>
  <sheetFormatPr baseColWidth="10" defaultRowHeight="15"/>
  <cols>
    <col min="1" max="1" width="3.7109375" customWidth="1"/>
    <col min="2" max="2" width="46.5703125" customWidth="1"/>
    <col min="3" max="3" width="28.5703125" customWidth="1"/>
    <col min="4" max="4" width="13.140625" customWidth="1"/>
    <col min="5" max="7" width="10.7109375" bestFit="1" customWidth="1"/>
    <col min="8" max="8" width="10.7109375" customWidth="1"/>
    <col min="9" max="10" width="10.7109375" bestFit="1" customWidth="1"/>
    <col min="11" max="11" width="10.7109375" customWidth="1"/>
    <col min="12" max="12" width="10.7109375" bestFit="1" customWidth="1"/>
    <col min="13" max="13" width="13" customWidth="1"/>
    <col min="14" max="15" width="10.7109375" bestFit="1" customWidth="1"/>
  </cols>
  <sheetData>
    <row r="2" spans="1:16" ht="53.1" customHeight="1">
      <c r="A2" s="4"/>
      <c r="B2" s="4"/>
      <c r="C2" s="196" t="s">
        <v>38</v>
      </c>
      <c r="D2" s="196"/>
      <c r="E2" s="5"/>
      <c r="F2" s="196" t="s">
        <v>63</v>
      </c>
      <c r="G2" s="196"/>
    </row>
    <row r="3" spans="1:16" ht="25.35" customHeight="1">
      <c r="A3" s="29"/>
      <c r="B3" s="197" t="s">
        <v>149</v>
      </c>
      <c r="C3" s="198"/>
      <c r="D3" s="198"/>
      <c r="E3" s="198"/>
      <c r="F3" s="198"/>
      <c r="G3" s="198"/>
      <c r="H3" s="198"/>
      <c r="I3" s="198"/>
      <c r="J3" s="198"/>
      <c r="K3" s="198"/>
      <c r="L3" s="198"/>
      <c r="M3" s="199"/>
    </row>
    <row r="4" spans="1:16" ht="21.75" customHeight="1">
      <c r="A4" s="29"/>
      <c r="B4" s="109" t="s">
        <v>284</v>
      </c>
      <c r="C4" s="110"/>
      <c r="D4" s="110"/>
      <c r="E4" s="110"/>
      <c r="F4" s="110"/>
      <c r="G4" s="110"/>
      <c r="H4" s="110"/>
      <c r="I4" s="110"/>
      <c r="J4" s="110"/>
      <c r="K4" s="110"/>
      <c r="L4" s="110"/>
      <c r="M4" s="111"/>
    </row>
    <row r="5" spans="1:16" ht="9.75" customHeight="1">
      <c r="A5" s="29"/>
      <c r="B5" s="60"/>
      <c r="C5" s="31"/>
      <c r="D5" s="31"/>
      <c r="E5" s="31"/>
      <c r="F5" s="31"/>
      <c r="G5" s="31"/>
      <c r="H5" s="31"/>
      <c r="I5" s="31"/>
      <c r="J5" s="31"/>
      <c r="K5" s="31"/>
      <c r="L5" s="31"/>
      <c r="M5" s="31"/>
    </row>
    <row r="6" spans="1:16" ht="21.75" customHeight="1">
      <c r="A6" s="29"/>
      <c r="B6" s="34" t="s">
        <v>131</v>
      </c>
      <c r="C6" s="31"/>
      <c r="D6" s="31"/>
      <c r="E6" s="31"/>
      <c r="F6" s="31"/>
      <c r="G6" s="31"/>
      <c r="H6" s="31"/>
      <c r="I6" s="31"/>
      <c r="J6" s="31"/>
      <c r="K6" s="31"/>
      <c r="L6" s="31"/>
      <c r="M6" s="31"/>
    </row>
    <row r="7" spans="1:16" ht="14.25" customHeight="1">
      <c r="A7" s="29"/>
      <c r="C7" s="31"/>
      <c r="D7" s="31"/>
      <c r="E7" s="31"/>
      <c r="F7" s="31"/>
      <c r="G7" s="31"/>
      <c r="H7" s="31"/>
      <c r="I7" s="31"/>
      <c r="J7" s="31"/>
      <c r="K7" s="31"/>
      <c r="L7" s="31"/>
      <c r="M7" s="31"/>
    </row>
    <row r="8" spans="1:16" ht="46.5" customHeight="1">
      <c r="A8" s="29"/>
      <c r="B8" s="125" t="s">
        <v>279</v>
      </c>
      <c r="C8" s="126"/>
      <c r="D8" s="126"/>
      <c r="E8" s="126"/>
      <c r="F8" s="126"/>
      <c r="G8" s="126"/>
      <c r="H8" s="126"/>
      <c r="I8" s="126"/>
      <c r="J8" s="126"/>
      <c r="K8" s="126"/>
      <c r="L8" s="126"/>
      <c r="M8" s="126"/>
      <c r="N8" s="108"/>
    </row>
    <row r="9" spans="1:16" ht="15.6" customHeight="1">
      <c r="A9" s="29"/>
      <c r="B9" s="30"/>
      <c r="C9" s="31"/>
      <c r="D9" s="31"/>
      <c r="E9" s="31"/>
      <c r="F9" s="31"/>
      <c r="G9" s="31"/>
      <c r="H9" s="31"/>
      <c r="I9" s="31"/>
      <c r="J9" s="31"/>
      <c r="K9" s="31"/>
      <c r="L9" s="31"/>
      <c r="M9" s="31"/>
      <c r="O9" s="1"/>
      <c r="P9" s="1"/>
    </row>
    <row r="10" spans="1:16" ht="18.75" customHeight="1">
      <c r="A10" s="29"/>
      <c r="B10" s="37" t="s">
        <v>64</v>
      </c>
      <c r="C10" s="36"/>
      <c r="D10" s="31"/>
      <c r="E10" s="31"/>
      <c r="F10" s="31"/>
      <c r="G10" s="31"/>
      <c r="H10" s="31"/>
      <c r="I10" s="31"/>
      <c r="J10" s="31"/>
      <c r="K10" s="31"/>
      <c r="L10" s="31"/>
      <c r="M10" s="31"/>
    </row>
    <row r="11" spans="1:16" s="7" customFormat="1" ht="15.6" customHeight="1">
      <c r="A11" s="32"/>
      <c r="B11" s="33"/>
      <c r="C11" s="33"/>
      <c r="D11" s="33"/>
      <c r="E11" s="33"/>
      <c r="F11" s="33"/>
      <c r="G11" s="33"/>
      <c r="H11" s="33"/>
      <c r="I11" s="33"/>
      <c r="J11" s="33"/>
      <c r="K11" s="33"/>
      <c r="L11" s="33"/>
      <c r="M11" s="33"/>
    </row>
    <row r="12" spans="1:16" s="7" customFormat="1" ht="27" customHeight="1">
      <c r="A12" s="29"/>
      <c r="B12" s="41" t="s">
        <v>115</v>
      </c>
      <c r="C12" s="40"/>
      <c r="D12" s="127" t="s">
        <v>132</v>
      </c>
      <c r="E12" s="128"/>
      <c r="F12" s="128"/>
      <c r="G12" s="128"/>
      <c r="H12" s="128"/>
      <c r="I12" s="128"/>
      <c r="J12" s="128"/>
      <c r="K12" s="128"/>
      <c r="L12" s="128"/>
      <c r="M12" s="128"/>
    </row>
    <row r="13" spans="1:16" s="7" customFormat="1" ht="18.75" customHeight="1">
      <c r="A13" s="32"/>
      <c r="B13" s="41"/>
      <c r="C13" s="77"/>
      <c r="D13" s="76"/>
      <c r="E13" s="71"/>
      <c r="F13" s="71"/>
      <c r="G13" s="71"/>
      <c r="H13" s="71"/>
      <c r="I13" s="71"/>
      <c r="J13" s="71"/>
      <c r="K13" s="71"/>
      <c r="L13" s="71"/>
      <c r="M13" s="71"/>
    </row>
    <row r="14" spans="1:16" s="7" customFormat="1" ht="33.75" customHeight="1">
      <c r="A14" s="32"/>
      <c r="B14" s="129" t="s">
        <v>158</v>
      </c>
      <c r="C14" s="130"/>
      <c r="D14" s="130"/>
      <c r="E14" s="63"/>
      <c r="F14" s="71"/>
      <c r="H14" s="71"/>
      <c r="I14" s="71"/>
      <c r="J14" s="71"/>
      <c r="K14" s="71"/>
      <c r="L14" s="71"/>
      <c r="M14" s="71"/>
    </row>
    <row r="15" spans="1:16" s="7" customFormat="1" ht="15.6" customHeight="1">
      <c r="A15" s="32"/>
      <c r="B15" s="33"/>
      <c r="C15" s="33"/>
      <c r="D15" s="33"/>
      <c r="E15" s="33"/>
      <c r="F15" s="33"/>
      <c r="G15" s="33"/>
      <c r="H15" s="33"/>
      <c r="I15" s="33"/>
      <c r="J15" s="33"/>
      <c r="K15" s="33"/>
      <c r="L15" s="33"/>
      <c r="M15" s="33"/>
    </row>
    <row r="16" spans="1:16" s="10" customFormat="1" ht="15.4" customHeight="1">
      <c r="A16" s="8" t="s">
        <v>33</v>
      </c>
      <c r="B16" s="8" t="s">
        <v>32</v>
      </c>
      <c r="C16" s="9"/>
      <c r="D16" s="42"/>
      <c r="E16" s="43"/>
      <c r="G16" s="61" t="s">
        <v>34</v>
      </c>
      <c r="H16" s="8" t="s">
        <v>133</v>
      </c>
      <c r="I16" s="9"/>
      <c r="J16" s="9"/>
      <c r="K16" s="9"/>
      <c r="L16" s="9"/>
      <c r="M16" s="9"/>
    </row>
    <row r="17" spans="1:14" s="7" customFormat="1" ht="15.6" customHeight="1"/>
    <row r="18" spans="1:14" s="7" customFormat="1" ht="15.4" customHeight="1">
      <c r="B18" s="13" t="s">
        <v>39</v>
      </c>
      <c r="C18" s="93"/>
      <c r="H18" s="112" t="s">
        <v>134</v>
      </c>
      <c r="I18" s="113"/>
      <c r="J18" s="114"/>
      <c r="K18" s="115"/>
      <c r="L18" s="116"/>
    </row>
    <row r="19" spans="1:14" s="7" customFormat="1" ht="15.4" customHeight="1">
      <c r="B19" s="13" t="s">
        <v>116</v>
      </c>
      <c r="C19" s="114"/>
      <c r="D19" s="115"/>
      <c r="E19" s="116"/>
      <c r="H19" s="112" t="s">
        <v>135</v>
      </c>
      <c r="I19" s="113"/>
      <c r="J19" s="114"/>
      <c r="K19" s="115"/>
      <c r="L19" s="116"/>
    </row>
    <row r="20" spans="1:14" s="7" customFormat="1" ht="15.4" customHeight="1">
      <c r="B20" s="38" t="s">
        <v>67</v>
      </c>
      <c r="C20" s="114"/>
      <c r="D20" s="115"/>
      <c r="E20" s="116"/>
      <c r="H20" s="112" t="s">
        <v>136</v>
      </c>
      <c r="I20" s="113"/>
      <c r="J20" s="114"/>
      <c r="K20" s="115"/>
      <c r="L20" s="116"/>
    </row>
    <row r="21" spans="1:14" s="7" customFormat="1" ht="15.4" customHeight="1">
      <c r="B21" s="38" t="s">
        <v>31</v>
      </c>
      <c r="C21" s="22"/>
      <c r="H21" s="112" t="s">
        <v>137</v>
      </c>
      <c r="I21" s="113"/>
      <c r="J21" s="114"/>
      <c r="K21" s="115"/>
      <c r="L21" s="116"/>
    </row>
    <row r="22" spans="1:14" s="7" customFormat="1" ht="15.4" customHeight="1">
      <c r="B22" s="38" t="s">
        <v>0</v>
      </c>
      <c r="C22" s="56"/>
      <c r="H22" s="112" t="s">
        <v>138</v>
      </c>
      <c r="I22" s="113"/>
      <c r="J22" s="62"/>
    </row>
    <row r="23" spans="1:14" s="7" customFormat="1" ht="15.4" customHeight="1">
      <c r="B23" s="38" t="s">
        <v>1</v>
      </c>
      <c r="C23" s="56"/>
      <c r="H23" s="112" t="s">
        <v>0</v>
      </c>
      <c r="I23" s="113"/>
      <c r="J23" s="114"/>
      <c r="K23" s="115"/>
      <c r="L23" s="116"/>
    </row>
    <row r="24" spans="1:14" s="7" customFormat="1" ht="15.4" customHeight="1">
      <c r="B24" s="38"/>
      <c r="H24" s="112" t="s">
        <v>139</v>
      </c>
      <c r="I24" s="113"/>
      <c r="J24" s="117"/>
      <c r="K24" s="118"/>
      <c r="L24" s="119"/>
    </row>
    <row r="25" spans="1:14" s="7" customFormat="1" ht="15.4" customHeight="1">
      <c r="B25" s="13" t="s">
        <v>48</v>
      </c>
      <c r="C25" s="114"/>
      <c r="D25" s="116"/>
      <c r="E25" s="78"/>
      <c r="H25" s="112" t="s">
        <v>282</v>
      </c>
      <c r="I25" s="113"/>
      <c r="J25" s="135"/>
      <c r="K25" s="135"/>
      <c r="N25" s="78"/>
    </row>
    <row r="26" spans="1:14" s="7" customFormat="1" ht="15.4" customHeight="1">
      <c r="B26" s="13" t="s">
        <v>37</v>
      </c>
      <c r="C26" s="26"/>
      <c r="D26" s="15"/>
      <c r="E26" s="15"/>
      <c r="H26" s="136" t="s">
        <v>140</v>
      </c>
      <c r="I26" s="136"/>
      <c r="J26" s="137"/>
      <c r="K26" s="137"/>
      <c r="N26" s="107"/>
    </row>
    <row r="27" spans="1:14" s="7" customFormat="1" ht="15.4" customHeight="1">
      <c r="B27" s="13"/>
      <c r="C27" s="13"/>
      <c r="D27" s="15"/>
      <c r="E27" s="15"/>
      <c r="H27" s="105"/>
      <c r="I27" s="105"/>
    </row>
    <row r="28" spans="1:14" s="7" customFormat="1" ht="15.4" customHeight="1">
      <c r="A28" s="65" t="s">
        <v>277</v>
      </c>
      <c r="B28" s="143" t="s">
        <v>278</v>
      </c>
      <c r="C28" s="143"/>
      <c r="H28" s="105"/>
      <c r="I28" s="105"/>
    </row>
    <row r="29" spans="1:14" s="7" customFormat="1" ht="15.4" customHeight="1">
      <c r="B29" s="13" t="s">
        <v>137</v>
      </c>
      <c r="C29" s="137"/>
      <c r="D29" s="137"/>
      <c r="E29" s="137"/>
      <c r="H29" s="105"/>
      <c r="I29" s="105"/>
    </row>
    <row r="30" spans="1:14" s="7" customFormat="1" ht="15.4" customHeight="1">
      <c r="B30" s="13" t="s">
        <v>31</v>
      </c>
      <c r="C30" s="106"/>
      <c r="H30" s="105"/>
      <c r="I30" s="105"/>
    </row>
    <row r="31" spans="1:14" s="7" customFormat="1" ht="15.4" customHeight="1">
      <c r="B31" s="13" t="s">
        <v>0</v>
      </c>
      <c r="C31" s="106"/>
      <c r="H31" s="105"/>
      <c r="I31" s="105"/>
    </row>
    <row r="32" spans="1:14" s="7" customFormat="1" ht="15.4" customHeight="1">
      <c r="B32" s="13" t="s">
        <v>1</v>
      </c>
      <c r="C32" s="106"/>
      <c r="H32" s="105"/>
      <c r="I32" s="105"/>
    </row>
    <row r="33" spans="1:13" s="7" customFormat="1" ht="15.4" customHeight="1">
      <c r="B33" s="14"/>
      <c r="C33" s="12"/>
      <c r="D33" s="20"/>
      <c r="E33" s="20"/>
    </row>
    <row r="34" spans="1:13" s="7" customFormat="1" ht="15.4" customHeight="1">
      <c r="A34" s="8" t="s">
        <v>35</v>
      </c>
      <c r="B34" s="8" t="s">
        <v>42</v>
      </c>
      <c r="C34" s="18"/>
      <c r="D34" s="18"/>
      <c r="E34" s="18"/>
      <c r="F34" s="10"/>
    </row>
    <row r="35" spans="1:13" s="7" customFormat="1" ht="15.4" customHeight="1"/>
    <row r="36" spans="1:13" s="7" customFormat="1" ht="15.4" customHeight="1">
      <c r="B36" s="57" t="s">
        <v>62</v>
      </c>
      <c r="C36" s="114"/>
      <c r="D36" s="115"/>
      <c r="E36" s="116"/>
    </row>
    <row r="37" spans="1:13" s="7" customFormat="1" ht="15.4" customHeight="1">
      <c r="B37" s="57" t="s">
        <v>43</v>
      </c>
      <c r="C37" s="114"/>
      <c r="D37" s="115"/>
      <c r="E37" s="116"/>
    </row>
    <row r="38" spans="1:13" s="7" customFormat="1" ht="15.4" customHeight="1">
      <c r="B38" s="57" t="s">
        <v>44</v>
      </c>
      <c r="C38" s="114"/>
      <c r="D38" s="115"/>
      <c r="E38" s="116"/>
    </row>
    <row r="39" spans="1:13" s="7" customFormat="1" ht="15.4" customHeight="1">
      <c r="B39" s="57" t="s">
        <v>45</v>
      </c>
      <c r="C39" s="114"/>
      <c r="D39" s="115"/>
      <c r="E39" s="116"/>
    </row>
    <row r="40" spans="1:13" s="7" customFormat="1" ht="15.4" customHeight="1">
      <c r="A40" s="21"/>
    </row>
    <row r="41" spans="1:13" s="7" customFormat="1" ht="15.4" customHeight="1">
      <c r="A41" s="27"/>
      <c r="B41" s="11" t="s">
        <v>117</v>
      </c>
      <c r="F41"/>
    </row>
    <row r="42" spans="1:13" s="7" customFormat="1" ht="15.4" customHeight="1">
      <c r="B42" s="57" t="s">
        <v>46</v>
      </c>
      <c r="C42" s="114"/>
      <c r="D42" s="115"/>
      <c r="E42" s="116"/>
      <c r="F42"/>
    </row>
    <row r="43" spans="1:13" s="7" customFormat="1" ht="15" customHeight="1"/>
    <row r="44" spans="1:13" ht="15.4" customHeight="1">
      <c r="A44" s="44" t="s">
        <v>36</v>
      </c>
      <c r="B44" s="73" t="s">
        <v>4</v>
      </c>
      <c r="C44" s="67"/>
      <c r="D44" s="67"/>
      <c r="E44" s="67"/>
      <c r="F44" s="67"/>
      <c r="G44" s="6"/>
      <c r="H44" s="6"/>
      <c r="I44" s="6"/>
      <c r="J44" s="6"/>
      <c r="K44" s="6"/>
      <c r="L44" s="6"/>
      <c r="M44" s="6"/>
    </row>
    <row r="45" spans="1:13" ht="15.4" customHeight="1">
      <c r="A45" s="66"/>
      <c r="B45" s="74"/>
      <c r="C45" s="75"/>
      <c r="D45" s="75"/>
      <c r="E45" s="75"/>
      <c r="F45" s="75"/>
      <c r="G45" s="6"/>
      <c r="H45" s="6"/>
      <c r="I45" s="67"/>
      <c r="J45" s="67"/>
      <c r="K45" s="67"/>
      <c r="L45" s="67"/>
      <c r="M45" s="67"/>
    </row>
    <row r="46" spans="1:13" ht="19.5" customHeight="1">
      <c r="B46" s="120" t="s">
        <v>159</v>
      </c>
      <c r="C46" s="120"/>
      <c r="D46" s="120"/>
      <c r="E46" s="120"/>
      <c r="F46" s="121"/>
      <c r="G46" s="124"/>
      <c r="H46" s="124"/>
    </row>
    <row r="47" spans="1:13" ht="30.75" customHeight="1">
      <c r="B47" s="140" t="s">
        <v>164</v>
      </c>
      <c r="C47" s="141"/>
      <c r="D47" s="141"/>
      <c r="E47" s="141"/>
      <c r="F47" s="142"/>
      <c r="G47" s="63"/>
      <c r="H47" s="3"/>
    </row>
    <row r="48" spans="1:13" ht="32.25" customHeight="1">
      <c r="B48" s="122" t="s">
        <v>275</v>
      </c>
      <c r="C48" s="122"/>
      <c r="D48" s="122"/>
      <c r="E48" s="122"/>
      <c r="F48" s="123"/>
      <c r="G48" s="63"/>
      <c r="H48" s="3"/>
    </row>
    <row r="49" spans="1:16" ht="30.75" customHeight="1">
      <c r="B49" s="122" t="s">
        <v>280</v>
      </c>
      <c r="C49" s="138"/>
      <c r="D49" s="138"/>
      <c r="E49" s="138"/>
      <c r="F49" s="139"/>
      <c r="G49" s="63"/>
      <c r="H49" s="3"/>
      <c r="K49" s="108"/>
    </row>
    <row r="50" spans="1:16" ht="15.4" customHeight="1"/>
    <row r="51" spans="1:16" ht="15.4" customHeight="1">
      <c r="A51" s="55" t="s">
        <v>141</v>
      </c>
      <c r="B51" s="195" t="s">
        <v>122</v>
      </c>
      <c r="C51" s="195"/>
      <c r="D51" s="195"/>
      <c r="E51" s="195"/>
      <c r="F51" s="6"/>
      <c r="G51" s="6"/>
      <c r="H51" s="6"/>
      <c r="I51" s="6"/>
      <c r="J51" s="6"/>
      <c r="K51" s="6"/>
      <c r="L51" s="6"/>
      <c r="M51" s="6"/>
    </row>
    <row r="52" spans="1:16" s="79" customFormat="1" ht="17.25" customHeight="1">
      <c r="A52" s="64"/>
      <c r="B52" s="144" t="s">
        <v>142</v>
      </c>
      <c r="C52" s="144"/>
      <c r="D52" s="144"/>
      <c r="E52" s="144"/>
      <c r="F52" s="144"/>
      <c r="G52" s="144"/>
      <c r="H52" s="144"/>
      <c r="I52" s="144"/>
      <c r="J52" s="144"/>
      <c r="K52" s="144"/>
      <c r="L52" s="144"/>
      <c r="M52" s="144"/>
      <c r="N52" s="144"/>
      <c r="O52" s="144"/>
    </row>
    <row r="53" spans="1:16" s="79" customFormat="1" ht="17.25" customHeight="1">
      <c r="A53"/>
      <c r="B53" s="144" t="s">
        <v>143</v>
      </c>
      <c r="C53" s="144"/>
      <c r="D53" s="144"/>
      <c r="E53" s="144"/>
      <c r="F53" s="144"/>
      <c r="G53" s="144"/>
      <c r="H53" s="144"/>
      <c r="I53" s="144"/>
      <c r="J53" s="144"/>
      <c r="K53" s="144"/>
      <c r="L53" s="144"/>
      <c r="M53" s="144"/>
      <c r="N53" s="144"/>
      <c r="O53" s="144"/>
    </row>
    <row r="54" spans="1:16" ht="15.4" customHeight="1" thickBot="1"/>
    <row r="55" spans="1:16" ht="15.4" customHeight="1">
      <c r="A55" s="28" t="s">
        <v>144</v>
      </c>
      <c r="B55" s="39" t="s">
        <v>123</v>
      </c>
      <c r="C55" s="58">
        <v>44531</v>
      </c>
      <c r="D55" s="58">
        <v>44562</v>
      </c>
      <c r="E55" s="58">
        <v>44593</v>
      </c>
      <c r="F55" s="58">
        <v>44621</v>
      </c>
      <c r="G55" s="48" t="s">
        <v>47</v>
      </c>
    </row>
    <row r="56" spans="1:16" ht="15.4" customHeight="1">
      <c r="B56" s="46" t="s">
        <v>3</v>
      </c>
      <c r="C56" s="69"/>
      <c r="D56" s="24"/>
      <c r="E56" s="24"/>
      <c r="F56" s="24"/>
      <c r="G56" s="49">
        <f t="shared" ref="G56:G59" si="0">SUM(C56:F56)</f>
        <v>0</v>
      </c>
    </row>
    <row r="57" spans="1:16" ht="15" customHeight="1">
      <c r="B57" s="46" t="s">
        <v>104</v>
      </c>
      <c r="C57" s="69"/>
      <c r="D57" s="24"/>
      <c r="E57" s="24"/>
      <c r="F57" s="24"/>
      <c r="G57" s="49">
        <f t="shared" si="0"/>
        <v>0</v>
      </c>
    </row>
    <row r="58" spans="1:16" ht="15.4" customHeight="1" thickBot="1">
      <c r="B58" s="50" t="s">
        <v>118</v>
      </c>
      <c r="C58" s="70"/>
      <c r="D58" s="51"/>
      <c r="E58" s="51"/>
      <c r="F58" s="51"/>
      <c r="G58" s="52">
        <f t="shared" si="0"/>
        <v>0</v>
      </c>
    </row>
    <row r="59" spans="1:16" ht="15.4" customHeight="1">
      <c r="B59" s="53" t="s">
        <v>119</v>
      </c>
      <c r="C59" s="80">
        <f>SUM(C56:C58)</f>
        <v>0</v>
      </c>
      <c r="D59" s="80">
        <f t="shared" ref="D59:F59" si="1">SUM(D56:D58)</f>
        <v>0</v>
      </c>
      <c r="E59" s="80">
        <f t="shared" si="1"/>
        <v>0</v>
      </c>
      <c r="F59" s="80">
        <f t="shared" si="1"/>
        <v>0</v>
      </c>
      <c r="G59" s="47">
        <f t="shared" si="0"/>
        <v>0</v>
      </c>
      <c r="H59" s="108"/>
    </row>
    <row r="60" spans="1:16" ht="15.4" customHeight="1">
      <c r="A60" s="17"/>
      <c r="B60" s="53" t="s">
        <v>153</v>
      </c>
      <c r="C60" s="54">
        <f>IF($C$71="Option 2: coûts réels",0,$C$77/12)</f>
        <v>0</v>
      </c>
      <c r="D60" s="54">
        <f t="shared" ref="D60:F60" si="2">IF($C$71="Option 2: coûts réels",0,$C$77/12)</f>
        <v>0</v>
      </c>
      <c r="E60" s="54">
        <f t="shared" si="2"/>
        <v>0</v>
      </c>
      <c r="F60" s="54">
        <f t="shared" si="2"/>
        <v>0</v>
      </c>
      <c r="G60" s="54">
        <f>SUM(C60:F60)</f>
        <v>0</v>
      </c>
      <c r="L60" s="16"/>
      <c r="M60" s="23"/>
    </row>
    <row r="61" spans="1:16" ht="15.4" customHeight="1">
      <c r="A61" s="17"/>
      <c r="B61" s="53" t="s">
        <v>154</v>
      </c>
      <c r="C61" s="54">
        <f>IF($C$71="Option 2: coûts réels",F131,0)</f>
        <v>0</v>
      </c>
      <c r="D61" s="54">
        <f>IF($C$71="Option 2: coûts réels",H131,0)</f>
        <v>0</v>
      </c>
      <c r="E61" s="54">
        <f>IF($C$71="Option 2: coûts réels",J131,0)</f>
        <v>0</v>
      </c>
      <c r="F61" s="54">
        <f>IF($C$71="Option 2: coûts réels",L131,0)</f>
        <v>0</v>
      </c>
      <c r="G61" s="54">
        <f>SUM(C61:F61)</f>
        <v>0</v>
      </c>
      <c r="L61" s="16"/>
      <c r="M61" s="23"/>
    </row>
    <row r="62" spans="1:16" ht="15.4" customHeight="1">
      <c r="A62" s="17"/>
      <c r="B62" s="45" t="s">
        <v>120</v>
      </c>
      <c r="C62" s="54">
        <f>IF($C$71="Option 2: coûts réels",C59-C61,C59-C60)</f>
        <v>0</v>
      </c>
      <c r="D62" s="54">
        <f>IF($C$71="Option 2: coûts réels",D59-D61,D59-D60)</f>
        <v>0</v>
      </c>
      <c r="E62" s="54">
        <f>IF($C$71="Option 2: coûts réels",E59-E61,E59-E60)</f>
        <v>0</v>
      </c>
      <c r="F62" s="54">
        <f>IF($C$71="Option 2: coûts réels",F59-F61,F59-F60)</f>
        <v>0</v>
      </c>
      <c r="G62" s="54">
        <f>SUM(C62:F62)</f>
        <v>0</v>
      </c>
      <c r="L62" s="16"/>
      <c r="M62" s="23"/>
    </row>
    <row r="63" spans="1:16" ht="15.4" customHeight="1">
      <c r="A63" s="17"/>
      <c r="B63" s="153"/>
      <c r="C63" s="153"/>
      <c r="D63" s="16"/>
      <c r="E63" s="16"/>
      <c r="F63" s="16"/>
      <c r="G63" s="16"/>
      <c r="L63" s="16"/>
      <c r="M63" s="16"/>
      <c r="N63" s="23"/>
    </row>
    <row r="64" spans="1:16" ht="15.4" customHeight="1">
      <c r="A64" s="17"/>
      <c r="B64" s="92" t="s">
        <v>65</v>
      </c>
      <c r="C64" s="7"/>
      <c r="D64" s="16"/>
      <c r="E64" s="16"/>
      <c r="F64" s="16"/>
      <c r="G64" s="16"/>
      <c r="H64" s="16"/>
      <c r="I64" s="16"/>
      <c r="J64" s="16"/>
      <c r="K64" s="16"/>
      <c r="L64" s="16"/>
      <c r="M64" s="16"/>
      <c r="N64" s="16"/>
      <c r="O64" s="16"/>
      <c r="P64" s="23"/>
    </row>
    <row r="65" spans="1:15" s="7" customFormat="1" ht="15" customHeight="1"/>
    <row r="66" spans="1:15" s="7" customFormat="1" ht="15" customHeight="1"/>
    <row r="67" spans="1:15" s="7" customFormat="1" ht="18.75" customHeight="1">
      <c r="A67" s="94" t="s">
        <v>145</v>
      </c>
      <c r="B67" s="72" t="s">
        <v>161</v>
      </c>
    </row>
    <row r="68" spans="1:15" s="79" customFormat="1" ht="17.25" customHeight="1">
      <c r="A68" s="64"/>
      <c r="B68" s="144" t="s">
        <v>142</v>
      </c>
      <c r="C68" s="144"/>
      <c r="D68" s="144"/>
      <c r="E68" s="144"/>
      <c r="F68" s="144"/>
      <c r="G68" s="144"/>
      <c r="H68" s="144"/>
      <c r="I68" s="144"/>
      <c r="J68" s="144"/>
      <c r="K68" s="144"/>
      <c r="L68" s="144"/>
      <c r="M68" s="144"/>
      <c r="N68" s="144"/>
      <c r="O68" s="144"/>
    </row>
    <row r="69" spans="1:15" s="79" customFormat="1" ht="17.25" customHeight="1">
      <c r="A69"/>
      <c r="B69" s="144" t="s">
        <v>143</v>
      </c>
      <c r="C69" s="144"/>
      <c r="D69" s="144"/>
      <c r="E69" s="144"/>
      <c r="F69" s="144"/>
      <c r="G69" s="144"/>
      <c r="H69" s="144"/>
      <c r="I69" s="144"/>
      <c r="J69" s="144"/>
      <c r="K69" s="144"/>
      <c r="L69" s="144"/>
      <c r="M69" s="144"/>
      <c r="N69" s="144"/>
      <c r="O69" s="144"/>
    </row>
    <row r="70" spans="1:15" s="7" customFormat="1" ht="15" customHeight="1">
      <c r="A70" s="65"/>
      <c r="B70" s="65"/>
    </row>
    <row r="71" spans="1:15" s="7" customFormat="1" ht="30" customHeight="1">
      <c r="B71" s="90" t="s">
        <v>160</v>
      </c>
      <c r="C71" s="167"/>
      <c r="D71" s="168"/>
      <c r="E71" s="91"/>
    </row>
    <row r="72" spans="1:15" s="7" customFormat="1" ht="15" customHeight="1" thickBot="1"/>
    <row r="73" spans="1:15" s="7" customFormat="1" ht="15" customHeight="1">
      <c r="B73" s="159" t="s">
        <v>162</v>
      </c>
      <c r="C73" s="160"/>
      <c r="D73" s="160"/>
      <c r="E73" s="160"/>
      <c r="F73" s="160"/>
      <c r="G73" s="160"/>
      <c r="H73" s="160"/>
      <c r="I73" s="160"/>
      <c r="J73" s="81"/>
      <c r="K73" s="81"/>
      <c r="L73" s="81"/>
      <c r="M73" s="82"/>
    </row>
    <row r="74" spans="1:15" s="7" customFormat="1" ht="15" customHeight="1">
      <c r="B74" s="83" t="s">
        <v>151</v>
      </c>
      <c r="C74" s="33"/>
      <c r="D74" s="33"/>
      <c r="E74" s="33"/>
      <c r="F74" s="33"/>
      <c r="G74" s="33"/>
      <c r="H74" s="33"/>
      <c r="I74" s="33"/>
      <c r="J74" s="33"/>
      <c r="K74" s="33"/>
      <c r="L74" s="33"/>
      <c r="M74" s="84"/>
    </row>
    <row r="75" spans="1:15" s="7" customFormat="1" ht="15" customHeight="1">
      <c r="B75" s="83" t="s">
        <v>152</v>
      </c>
      <c r="C75" s="33"/>
      <c r="D75" s="33"/>
      <c r="E75" s="33"/>
      <c r="F75" s="33"/>
      <c r="G75" s="33"/>
      <c r="H75" s="33"/>
      <c r="I75" s="33"/>
      <c r="J75" s="33"/>
      <c r="K75" s="33"/>
      <c r="L75" s="33"/>
      <c r="M75" s="84"/>
    </row>
    <row r="76" spans="1:15" s="7" customFormat="1" ht="15" customHeight="1">
      <c r="B76" s="83"/>
      <c r="C76" s="33" t="s">
        <v>148</v>
      </c>
      <c r="D76" s="33"/>
      <c r="E76" s="33"/>
      <c r="F76" s="33"/>
      <c r="G76" s="33"/>
      <c r="H76" s="33"/>
      <c r="I76" s="33"/>
      <c r="J76" s="33"/>
      <c r="K76" s="33"/>
      <c r="L76" s="33"/>
      <c r="M76" s="84"/>
    </row>
    <row r="77" spans="1:15" ht="24" customHeight="1">
      <c r="A77" s="66"/>
      <c r="B77" s="89" t="s">
        <v>276</v>
      </c>
      <c r="C77" s="68"/>
      <c r="D77" s="67"/>
      <c r="E77" s="67"/>
      <c r="F77" s="67"/>
      <c r="G77" s="67"/>
      <c r="H77" s="67"/>
      <c r="I77" s="67"/>
      <c r="J77" s="67"/>
      <c r="K77" s="67"/>
      <c r="L77" s="67"/>
      <c r="M77" s="85"/>
    </row>
    <row r="78" spans="1:15" ht="36" customHeight="1">
      <c r="A78" s="66"/>
      <c r="B78" s="161" t="s">
        <v>156</v>
      </c>
      <c r="C78" s="162"/>
      <c r="D78" s="162"/>
      <c r="E78" s="162"/>
      <c r="F78" s="162"/>
      <c r="G78" s="162"/>
      <c r="H78" s="162"/>
      <c r="I78" s="162"/>
      <c r="J78" s="162"/>
      <c r="K78" s="162"/>
      <c r="L78" s="162"/>
      <c r="M78" s="163"/>
    </row>
    <row r="79" spans="1:15" ht="33.75" customHeight="1" thickBot="1">
      <c r="A79" s="66"/>
      <c r="B79" s="164" t="s">
        <v>147</v>
      </c>
      <c r="C79" s="165"/>
      <c r="D79" s="165"/>
      <c r="E79" s="165"/>
      <c r="F79" s="165"/>
      <c r="G79" s="165"/>
      <c r="H79" s="165"/>
      <c r="I79" s="165"/>
      <c r="J79" s="165"/>
      <c r="K79" s="165"/>
      <c r="L79" s="165"/>
      <c r="M79" s="166"/>
    </row>
    <row r="80" spans="1:15" ht="15.75" thickBot="1">
      <c r="A80" s="28"/>
      <c r="B80" s="28"/>
    </row>
    <row r="81" spans="1:14" s="7" customFormat="1" ht="15" customHeight="1">
      <c r="B81" s="159" t="s">
        <v>163</v>
      </c>
      <c r="C81" s="160"/>
      <c r="D81" s="160"/>
      <c r="E81" s="160"/>
      <c r="F81" s="160"/>
      <c r="G81" s="160"/>
      <c r="H81" s="160"/>
      <c r="I81" s="160"/>
      <c r="J81" s="160"/>
      <c r="K81" s="160"/>
      <c r="L81" s="81"/>
      <c r="M81" s="82"/>
    </row>
    <row r="82" spans="1:14" s="7" customFormat="1" ht="15" customHeight="1">
      <c r="B82" s="86"/>
      <c r="C82" s="87"/>
      <c r="D82" s="87"/>
      <c r="E82" s="87"/>
      <c r="F82" s="87"/>
      <c r="G82" s="87"/>
      <c r="H82" s="87"/>
      <c r="I82" s="87"/>
      <c r="J82" s="33"/>
      <c r="K82" s="33"/>
      <c r="L82" s="33"/>
      <c r="M82" s="84"/>
    </row>
    <row r="83" spans="1:14" s="7" customFormat="1" ht="15" customHeight="1">
      <c r="B83" s="83" t="s">
        <v>150</v>
      </c>
      <c r="C83" s="33"/>
      <c r="D83" s="33"/>
      <c r="E83" s="33"/>
      <c r="F83" s="33"/>
      <c r="G83" s="33"/>
      <c r="H83" s="33"/>
      <c r="I83" s="33"/>
      <c r="J83" s="33"/>
      <c r="K83" s="33"/>
      <c r="L83" s="33"/>
      <c r="M83" s="84"/>
    </row>
    <row r="84" spans="1:14" ht="15.6" customHeight="1">
      <c r="A84" s="17"/>
      <c r="B84" s="88"/>
      <c r="C84" s="19"/>
      <c r="D84" s="67"/>
      <c r="E84" s="67"/>
      <c r="F84" s="67"/>
      <c r="G84" s="67"/>
      <c r="H84" s="67"/>
      <c r="I84" s="67"/>
      <c r="J84" s="67"/>
      <c r="K84" s="67"/>
      <c r="L84" s="67"/>
      <c r="M84" s="85"/>
    </row>
    <row r="85" spans="1:14" ht="25.15" customHeight="1" thickBot="1">
      <c r="A85" s="28"/>
      <c r="B85" s="156" t="s">
        <v>146</v>
      </c>
      <c r="C85" s="157"/>
      <c r="D85" s="157"/>
      <c r="E85" s="158"/>
      <c r="F85" s="59"/>
      <c r="G85" s="59"/>
      <c r="H85" s="67"/>
      <c r="I85" s="67"/>
      <c r="J85" s="67"/>
      <c r="K85" s="67"/>
      <c r="L85" s="67"/>
      <c r="M85" s="85"/>
    </row>
    <row r="86" spans="1:14">
      <c r="A86" s="1"/>
      <c r="B86" s="204"/>
      <c r="C86" s="205"/>
      <c r="D86" s="205"/>
      <c r="E86" s="205"/>
      <c r="F86" s="131">
        <v>44531</v>
      </c>
      <c r="G86" s="132"/>
      <c r="H86" s="131">
        <v>44562</v>
      </c>
      <c r="I86" s="132"/>
      <c r="J86" s="131">
        <v>44593</v>
      </c>
      <c r="K86" s="132"/>
      <c r="L86" s="131">
        <v>44621</v>
      </c>
      <c r="M86" s="132"/>
    </row>
    <row r="87" spans="1:14" ht="15.75" thickBot="1">
      <c r="A87" s="1"/>
      <c r="B87" s="206"/>
      <c r="C87" s="207"/>
      <c r="D87" s="207"/>
      <c r="E87" s="207"/>
      <c r="F87" s="152" t="s">
        <v>78</v>
      </c>
      <c r="G87" s="134"/>
      <c r="H87" s="133" t="s">
        <v>78</v>
      </c>
      <c r="I87" s="134"/>
      <c r="J87" s="133" t="s">
        <v>78</v>
      </c>
      <c r="K87" s="134"/>
      <c r="L87" s="133" t="s">
        <v>78</v>
      </c>
      <c r="M87" s="134"/>
    </row>
    <row r="88" spans="1:14">
      <c r="A88" s="1"/>
      <c r="B88" s="209" t="s">
        <v>124</v>
      </c>
      <c r="C88" s="211" t="s">
        <v>157</v>
      </c>
      <c r="D88" s="148"/>
      <c r="E88" s="149"/>
      <c r="F88" s="150"/>
      <c r="G88" s="151"/>
      <c r="H88" s="150"/>
      <c r="I88" s="151"/>
      <c r="J88" s="150"/>
      <c r="K88" s="151"/>
      <c r="L88" s="150"/>
      <c r="M88" s="151"/>
    </row>
    <row r="89" spans="1:14">
      <c r="A89" s="1"/>
      <c r="B89" s="209"/>
      <c r="C89" s="211" t="s">
        <v>125</v>
      </c>
      <c r="D89" s="148"/>
      <c r="E89" s="149"/>
      <c r="F89" s="150"/>
      <c r="G89" s="151"/>
      <c r="H89" s="150"/>
      <c r="I89" s="151"/>
      <c r="J89" s="150"/>
      <c r="K89" s="151"/>
      <c r="L89" s="150"/>
      <c r="M89" s="151"/>
    </row>
    <row r="90" spans="1:14" ht="15.75" thickBot="1">
      <c r="A90" s="1"/>
      <c r="B90" s="210"/>
      <c r="C90" s="211" t="s">
        <v>40</v>
      </c>
      <c r="D90" s="148"/>
      <c r="E90" s="149"/>
      <c r="F90" s="212"/>
      <c r="G90" s="213"/>
      <c r="H90" s="154"/>
      <c r="I90" s="155"/>
      <c r="J90" s="154"/>
      <c r="K90" s="155"/>
      <c r="L90" s="154"/>
      <c r="M90" s="155"/>
    </row>
    <row r="91" spans="1:14">
      <c r="A91" s="1"/>
      <c r="B91" s="209" t="s">
        <v>121</v>
      </c>
      <c r="C91" s="180" t="s">
        <v>126</v>
      </c>
      <c r="D91" s="181"/>
      <c r="E91" s="182"/>
      <c r="F91" s="150"/>
      <c r="G91" s="151"/>
      <c r="H91" s="150"/>
      <c r="I91" s="151"/>
      <c r="J91" s="150"/>
      <c r="K91" s="151"/>
      <c r="L91" s="150"/>
      <c r="M91" s="151"/>
    </row>
    <row r="92" spans="1:14" ht="15" customHeight="1">
      <c r="A92" s="1"/>
      <c r="B92" s="210"/>
      <c r="C92" s="211" t="s">
        <v>127</v>
      </c>
      <c r="D92" s="148"/>
      <c r="E92" s="149"/>
      <c r="F92" s="150"/>
      <c r="G92" s="151"/>
      <c r="H92" s="150"/>
      <c r="I92" s="151"/>
      <c r="J92" s="150"/>
      <c r="K92" s="151"/>
      <c r="L92" s="150"/>
      <c r="M92" s="151"/>
    </row>
    <row r="93" spans="1:14" ht="46.5" customHeight="1">
      <c r="A93" s="1"/>
      <c r="B93" s="210"/>
      <c r="C93" s="147" t="s">
        <v>128</v>
      </c>
      <c r="D93" s="148"/>
      <c r="E93" s="149"/>
      <c r="F93" s="150"/>
      <c r="G93" s="151"/>
      <c r="H93" s="145"/>
      <c r="I93" s="146"/>
      <c r="J93" s="145"/>
      <c r="K93" s="146"/>
      <c r="L93" s="145"/>
      <c r="M93" s="146"/>
      <c r="N93" s="108"/>
    </row>
    <row r="94" spans="1:14" ht="15.75" thickBot="1">
      <c r="A94" s="1"/>
      <c r="B94" s="210"/>
      <c r="C94" s="211" t="s">
        <v>129</v>
      </c>
      <c r="D94" s="148"/>
      <c r="E94" s="149"/>
      <c r="F94" s="154"/>
      <c r="G94" s="155"/>
      <c r="H94" s="154"/>
      <c r="I94" s="155"/>
      <c r="J94" s="154"/>
      <c r="K94" s="155"/>
      <c r="L94" s="154"/>
      <c r="M94" s="155"/>
    </row>
    <row r="95" spans="1:14">
      <c r="B95" s="208" t="s">
        <v>68</v>
      </c>
      <c r="C95" s="189" t="s">
        <v>79</v>
      </c>
      <c r="D95" s="190"/>
      <c r="E95" s="191"/>
      <c r="F95" s="150"/>
      <c r="G95" s="151"/>
      <c r="H95" s="150"/>
      <c r="I95" s="151"/>
      <c r="J95" s="150"/>
      <c r="K95" s="151"/>
      <c r="L95" s="150"/>
      <c r="M95" s="151"/>
    </row>
    <row r="96" spans="1:14">
      <c r="B96" s="201"/>
      <c r="C96" s="179" t="s">
        <v>80</v>
      </c>
      <c r="D96" s="157"/>
      <c r="E96" s="158"/>
      <c r="F96" s="145"/>
      <c r="G96" s="146"/>
      <c r="H96" s="145"/>
      <c r="I96" s="146"/>
      <c r="J96" s="145"/>
      <c r="K96" s="146"/>
      <c r="L96" s="145"/>
      <c r="M96" s="146"/>
    </row>
    <row r="97" spans="2:13">
      <c r="B97" s="201"/>
      <c r="C97" s="179" t="s">
        <v>81</v>
      </c>
      <c r="D97" s="157"/>
      <c r="E97" s="158"/>
      <c r="F97" s="145"/>
      <c r="G97" s="146"/>
      <c r="H97" s="145"/>
      <c r="I97" s="146"/>
      <c r="J97" s="145"/>
      <c r="K97" s="146"/>
      <c r="L97" s="145"/>
      <c r="M97" s="146"/>
    </row>
    <row r="98" spans="2:13" ht="15.75" thickBot="1">
      <c r="B98" s="202"/>
      <c r="C98" s="186" t="s">
        <v>40</v>
      </c>
      <c r="D98" s="187"/>
      <c r="E98" s="188"/>
      <c r="F98" s="154"/>
      <c r="G98" s="155"/>
      <c r="H98" s="154"/>
      <c r="I98" s="155"/>
      <c r="J98" s="154"/>
      <c r="K98" s="155"/>
      <c r="L98" s="154"/>
      <c r="M98" s="155"/>
    </row>
    <row r="99" spans="2:13">
      <c r="B99" s="200" t="s">
        <v>69</v>
      </c>
      <c r="C99" s="180" t="s">
        <v>285</v>
      </c>
      <c r="D99" s="181"/>
      <c r="E99" s="182"/>
      <c r="F99" s="175"/>
      <c r="G99" s="176"/>
      <c r="H99" s="175"/>
      <c r="I99" s="176"/>
      <c r="J99" s="175"/>
      <c r="K99" s="176"/>
      <c r="L99" s="175"/>
      <c r="M99" s="176"/>
    </row>
    <row r="100" spans="2:13">
      <c r="B100" s="201"/>
      <c r="C100" s="179" t="s">
        <v>82</v>
      </c>
      <c r="D100" s="157"/>
      <c r="E100" s="158"/>
      <c r="F100" s="145"/>
      <c r="G100" s="146"/>
      <c r="H100" s="145"/>
      <c r="I100" s="146"/>
      <c r="J100" s="145"/>
      <c r="K100" s="146"/>
      <c r="L100" s="145"/>
      <c r="M100" s="146"/>
    </row>
    <row r="101" spans="2:13">
      <c r="B101" s="201"/>
      <c r="C101" s="179" t="s">
        <v>70</v>
      </c>
      <c r="D101" s="157"/>
      <c r="E101" s="158"/>
      <c r="F101" s="145"/>
      <c r="G101" s="146"/>
      <c r="H101" s="145"/>
      <c r="I101" s="146"/>
      <c r="J101" s="145"/>
      <c r="K101" s="146"/>
      <c r="L101" s="145"/>
      <c r="M101" s="146"/>
    </row>
    <row r="102" spans="2:13">
      <c r="B102" s="201"/>
      <c r="C102" s="179" t="s">
        <v>83</v>
      </c>
      <c r="D102" s="157"/>
      <c r="E102" s="158"/>
      <c r="F102" s="145"/>
      <c r="G102" s="146"/>
      <c r="H102" s="145"/>
      <c r="I102" s="146"/>
      <c r="J102" s="145"/>
      <c r="K102" s="146"/>
      <c r="L102" s="145"/>
      <c r="M102" s="146"/>
    </row>
    <row r="103" spans="2:13">
      <c r="B103" s="201"/>
      <c r="C103" s="179" t="s">
        <v>84</v>
      </c>
      <c r="D103" s="157"/>
      <c r="E103" s="158"/>
      <c r="F103" s="145"/>
      <c r="G103" s="146"/>
      <c r="H103" s="145"/>
      <c r="I103" s="146"/>
      <c r="J103" s="145"/>
      <c r="K103" s="146"/>
      <c r="L103" s="145"/>
      <c r="M103" s="146"/>
    </row>
    <row r="104" spans="2:13">
      <c r="B104" s="201"/>
      <c r="C104" s="179" t="s">
        <v>85</v>
      </c>
      <c r="D104" s="157"/>
      <c r="E104" s="158"/>
      <c r="F104" s="145"/>
      <c r="G104" s="146"/>
      <c r="H104" s="145"/>
      <c r="I104" s="146"/>
      <c r="J104" s="145"/>
      <c r="K104" s="146"/>
      <c r="L104" s="145"/>
      <c r="M104" s="146"/>
    </row>
    <row r="105" spans="2:13" ht="15.75" thickBot="1">
      <c r="B105" s="202"/>
      <c r="C105" s="186" t="s">
        <v>40</v>
      </c>
      <c r="D105" s="187"/>
      <c r="E105" s="188"/>
      <c r="F105" s="154"/>
      <c r="G105" s="155"/>
      <c r="H105" s="154"/>
      <c r="I105" s="155"/>
      <c r="J105" s="154"/>
      <c r="K105" s="155"/>
      <c r="L105" s="154"/>
      <c r="M105" s="155"/>
    </row>
    <row r="106" spans="2:13">
      <c r="B106" s="200" t="s">
        <v>71</v>
      </c>
      <c r="C106" s="189" t="s">
        <v>112</v>
      </c>
      <c r="D106" s="190"/>
      <c r="E106" s="191"/>
      <c r="F106" s="175"/>
      <c r="G106" s="176"/>
      <c r="H106" s="175"/>
      <c r="I106" s="176"/>
      <c r="J106" s="175"/>
      <c r="K106" s="176"/>
      <c r="L106" s="175"/>
      <c r="M106" s="176"/>
    </row>
    <row r="107" spans="2:13">
      <c r="B107" s="201"/>
      <c r="C107" s="179" t="s">
        <v>91</v>
      </c>
      <c r="D107" s="157"/>
      <c r="E107" s="158"/>
      <c r="F107" s="169"/>
      <c r="G107" s="170"/>
      <c r="H107" s="169"/>
      <c r="I107" s="170"/>
      <c r="J107" s="169"/>
      <c r="K107" s="170"/>
      <c r="L107" s="169"/>
      <c r="M107" s="170"/>
    </row>
    <row r="108" spans="2:13" ht="15.75" thickBot="1">
      <c r="B108" s="202"/>
      <c r="C108" s="186" t="s">
        <v>40</v>
      </c>
      <c r="D108" s="187"/>
      <c r="E108" s="188"/>
      <c r="F108" s="154"/>
      <c r="G108" s="155"/>
      <c r="H108" s="154"/>
      <c r="I108" s="155"/>
      <c r="J108" s="154"/>
      <c r="K108" s="155"/>
      <c r="L108" s="154"/>
      <c r="M108" s="155"/>
    </row>
    <row r="109" spans="2:13">
      <c r="B109" s="200" t="s">
        <v>72</v>
      </c>
      <c r="C109" s="189" t="s">
        <v>92</v>
      </c>
      <c r="D109" s="190"/>
      <c r="E109" s="191"/>
      <c r="F109" s="173"/>
      <c r="G109" s="174"/>
      <c r="H109" s="173"/>
      <c r="I109" s="174"/>
      <c r="J109" s="173"/>
      <c r="K109" s="174"/>
      <c r="L109" s="173"/>
      <c r="M109" s="174"/>
    </row>
    <row r="110" spans="2:13" ht="15.75" thickBot="1">
      <c r="B110" s="202"/>
      <c r="C110" s="186" t="s">
        <v>40</v>
      </c>
      <c r="D110" s="187"/>
      <c r="E110" s="188"/>
      <c r="F110" s="154"/>
      <c r="G110" s="155"/>
      <c r="H110" s="154"/>
      <c r="I110" s="155"/>
      <c r="J110" s="154"/>
      <c r="K110" s="155"/>
      <c r="L110" s="154"/>
      <c r="M110" s="155"/>
    </row>
    <row r="111" spans="2:13">
      <c r="B111" s="200" t="s">
        <v>73</v>
      </c>
      <c r="C111" s="189" t="s">
        <v>74</v>
      </c>
      <c r="D111" s="190"/>
      <c r="E111" s="191"/>
      <c r="F111" s="175"/>
      <c r="G111" s="176"/>
      <c r="H111" s="175"/>
      <c r="I111" s="176"/>
      <c r="J111" s="175"/>
      <c r="K111" s="176"/>
      <c r="L111" s="175"/>
      <c r="M111" s="176"/>
    </row>
    <row r="112" spans="2:13">
      <c r="B112" s="201"/>
      <c r="C112" s="179" t="s">
        <v>93</v>
      </c>
      <c r="D112" s="157"/>
      <c r="E112" s="158"/>
      <c r="F112" s="145"/>
      <c r="G112" s="146"/>
      <c r="H112" s="145"/>
      <c r="I112" s="146"/>
      <c r="J112" s="145"/>
      <c r="K112" s="146"/>
      <c r="L112" s="145"/>
      <c r="M112" s="146"/>
    </row>
    <row r="113" spans="2:13" ht="15.75" thickBot="1">
      <c r="B113" s="202"/>
      <c r="C113" s="186" t="s">
        <v>40</v>
      </c>
      <c r="D113" s="187"/>
      <c r="E113" s="188"/>
      <c r="F113" s="154"/>
      <c r="G113" s="155"/>
      <c r="H113" s="154"/>
      <c r="I113" s="155"/>
      <c r="J113" s="154"/>
      <c r="K113" s="155"/>
      <c r="L113" s="154"/>
      <c r="M113" s="155"/>
    </row>
    <row r="114" spans="2:13">
      <c r="B114" s="200" t="s">
        <v>74</v>
      </c>
      <c r="C114" s="189" t="s">
        <v>94</v>
      </c>
      <c r="D114" s="190"/>
      <c r="E114" s="191"/>
      <c r="F114" s="175"/>
      <c r="G114" s="176"/>
      <c r="H114" s="175"/>
      <c r="I114" s="176"/>
      <c r="J114" s="175"/>
      <c r="K114" s="176"/>
      <c r="L114" s="175"/>
      <c r="M114" s="176"/>
    </row>
    <row r="115" spans="2:13">
      <c r="B115" s="201"/>
      <c r="C115" s="179" t="s">
        <v>95</v>
      </c>
      <c r="D115" s="157"/>
      <c r="E115" s="158"/>
      <c r="F115" s="145"/>
      <c r="G115" s="146"/>
      <c r="H115" s="145"/>
      <c r="I115" s="146"/>
      <c r="J115" s="145"/>
      <c r="K115" s="146"/>
      <c r="L115" s="145"/>
      <c r="M115" s="146"/>
    </row>
    <row r="116" spans="2:13">
      <c r="B116" s="201"/>
      <c r="C116" s="179" t="s">
        <v>96</v>
      </c>
      <c r="D116" s="157"/>
      <c r="E116" s="158"/>
      <c r="F116" s="145"/>
      <c r="G116" s="146"/>
      <c r="H116" s="145"/>
      <c r="I116" s="146"/>
      <c r="J116" s="145"/>
      <c r="K116" s="146"/>
      <c r="L116" s="145"/>
      <c r="M116" s="146"/>
    </row>
    <row r="117" spans="2:13">
      <c r="B117" s="201"/>
      <c r="C117" s="179" t="s">
        <v>97</v>
      </c>
      <c r="D117" s="157"/>
      <c r="E117" s="158"/>
      <c r="F117" s="145"/>
      <c r="G117" s="146"/>
      <c r="H117" s="145"/>
      <c r="I117" s="146"/>
      <c r="J117" s="145"/>
      <c r="K117" s="146"/>
      <c r="L117" s="145"/>
      <c r="M117" s="146"/>
    </row>
    <row r="118" spans="2:13">
      <c r="B118" s="201"/>
      <c r="C118" s="179" t="s">
        <v>98</v>
      </c>
      <c r="D118" s="157"/>
      <c r="E118" s="158"/>
      <c r="F118" s="145"/>
      <c r="G118" s="146"/>
      <c r="H118" s="145"/>
      <c r="I118" s="146"/>
      <c r="J118" s="145"/>
      <c r="K118" s="146"/>
      <c r="L118" s="145"/>
      <c r="M118" s="146"/>
    </row>
    <row r="119" spans="2:13" ht="15.75" thickBot="1">
      <c r="B119" s="202"/>
      <c r="C119" s="186" t="s">
        <v>40</v>
      </c>
      <c r="D119" s="187"/>
      <c r="E119" s="188"/>
      <c r="F119" s="154"/>
      <c r="G119" s="155"/>
      <c r="H119" s="154"/>
      <c r="I119" s="155"/>
      <c r="J119" s="154"/>
      <c r="K119" s="155"/>
      <c r="L119" s="154"/>
      <c r="M119" s="155"/>
    </row>
    <row r="120" spans="2:13">
      <c r="B120" s="200" t="s">
        <v>75</v>
      </c>
      <c r="C120" s="189" t="s">
        <v>99</v>
      </c>
      <c r="D120" s="190"/>
      <c r="E120" s="191"/>
      <c r="F120" s="175"/>
      <c r="G120" s="176"/>
      <c r="H120" s="175"/>
      <c r="I120" s="176"/>
      <c r="J120" s="175"/>
      <c r="K120" s="176"/>
      <c r="L120" s="175"/>
      <c r="M120" s="176"/>
    </row>
    <row r="121" spans="2:13">
      <c r="B121" s="201"/>
      <c r="C121" s="179" t="s">
        <v>100</v>
      </c>
      <c r="D121" s="157"/>
      <c r="E121" s="158"/>
      <c r="F121" s="145"/>
      <c r="G121" s="146"/>
      <c r="H121" s="145"/>
      <c r="I121" s="146"/>
      <c r="J121" s="145"/>
      <c r="K121" s="146"/>
      <c r="L121" s="145"/>
      <c r="M121" s="146"/>
    </row>
    <row r="122" spans="2:13">
      <c r="B122" s="201"/>
      <c r="C122" s="179" t="s">
        <v>101</v>
      </c>
      <c r="D122" s="157"/>
      <c r="E122" s="158"/>
      <c r="F122" s="145"/>
      <c r="G122" s="146"/>
      <c r="H122" s="145"/>
      <c r="I122" s="146"/>
      <c r="J122" s="145"/>
      <c r="K122" s="146"/>
      <c r="L122" s="145"/>
      <c r="M122" s="146"/>
    </row>
    <row r="123" spans="2:13">
      <c r="B123" s="201"/>
      <c r="C123" s="179" t="s">
        <v>90</v>
      </c>
      <c r="D123" s="157"/>
      <c r="E123" s="158"/>
      <c r="F123" s="145"/>
      <c r="G123" s="146"/>
      <c r="H123" s="145"/>
      <c r="I123" s="146"/>
      <c r="J123" s="145"/>
      <c r="K123" s="146"/>
      <c r="L123" s="145"/>
      <c r="M123" s="146"/>
    </row>
    <row r="124" spans="2:13">
      <c r="B124" s="201"/>
      <c r="C124" s="179" t="s">
        <v>89</v>
      </c>
      <c r="D124" s="157"/>
      <c r="E124" s="158"/>
      <c r="F124" s="145"/>
      <c r="G124" s="146"/>
      <c r="H124" s="145"/>
      <c r="I124" s="146"/>
      <c r="J124" s="145"/>
      <c r="K124" s="146"/>
      <c r="L124" s="145"/>
      <c r="M124" s="146"/>
    </row>
    <row r="125" spans="2:13">
      <c r="B125" s="201"/>
      <c r="C125" s="179" t="s">
        <v>88</v>
      </c>
      <c r="D125" s="157"/>
      <c r="E125" s="158"/>
      <c r="F125" s="145"/>
      <c r="G125" s="146"/>
      <c r="H125" s="145"/>
      <c r="I125" s="146"/>
      <c r="J125" s="145"/>
      <c r="K125" s="146"/>
      <c r="L125" s="145"/>
      <c r="M125" s="146"/>
    </row>
    <row r="126" spans="2:13" ht="15.75" thickBot="1">
      <c r="B126" s="202"/>
      <c r="C126" s="186" t="s">
        <v>40</v>
      </c>
      <c r="D126" s="187"/>
      <c r="E126" s="188"/>
      <c r="F126" s="154"/>
      <c r="G126" s="155"/>
      <c r="H126" s="154"/>
      <c r="I126" s="155"/>
      <c r="J126" s="154"/>
      <c r="K126" s="155"/>
      <c r="L126" s="154"/>
      <c r="M126" s="155"/>
    </row>
    <row r="127" spans="2:13">
      <c r="B127" s="200" t="s">
        <v>76</v>
      </c>
      <c r="C127" s="189" t="s">
        <v>87</v>
      </c>
      <c r="D127" s="190"/>
      <c r="E127" s="191"/>
      <c r="F127" s="175"/>
      <c r="G127" s="176"/>
      <c r="H127" s="175"/>
      <c r="I127" s="176"/>
      <c r="J127" s="175"/>
      <c r="K127" s="176"/>
      <c r="L127" s="175"/>
      <c r="M127" s="176"/>
    </row>
    <row r="128" spans="2:13" ht="15.75" thickBot="1">
      <c r="B128" s="202"/>
      <c r="C128" s="186" t="s">
        <v>40</v>
      </c>
      <c r="D128" s="187"/>
      <c r="E128" s="188"/>
      <c r="F128" s="154"/>
      <c r="G128" s="155"/>
      <c r="H128" s="154"/>
      <c r="I128" s="155"/>
      <c r="J128" s="154"/>
      <c r="K128" s="155"/>
      <c r="L128" s="154"/>
      <c r="M128" s="155"/>
    </row>
    <row r="129" spans="1:15">
      <c r="B129" s="200" t="s">
        <v>77</v>
      </c>
      <c r="C129" s="183" t="s">
        <v>86</v>
      </c>
      <c r="D129" s="184"/>
      <c r="E129" s="185"/>
      <c r="F129" s="175"/>
      <c r="G129" s="176"/>
      <c r="H129" s="175"/>
      <c r="I129" s="176"/>
      <c r="J129" s="175"/>
      <c r="K129" s="176"/>
      <c r="L129" s="175"/>
      <c r="M129" s="176"/>
    </row>
    <row r="130" spans="1:15" ht="15.75" thickBot="1">
      <c r="B130" s="203"/>
      <c r="C130" s="186" t="s">
        <v>40</v>
      </c>
      <c r="D130" s="187"/>
      <c r="E130" s="188"/>
      <c r="F130" s="177"/>
      <c r="G130" s="178"/>
      <c r="H130" s="177"/>
      <c r="I130" s="178"/>
      <c r="J130" s="177"/>
      <c r="K130" s="178"/>
      <c r="L130" s="177"/>
      <c r="M130" s="178"/>
    </row>
    <row r="131" spans="1:15" ht="15.75" thickBot="1">
      <c r="B131" s="192" t="s">
        <v>130</v>
      </c>
      <c r="C131" s="193"/>
      <c r="D131" s="193"/>
      <c r="E131" s="194"/>
      <c r="F131" s="171">
        <f>SUM(F88:G130)</f>
        <v>0</v>
      </c>
      <c r="G131" s="172"/>
      <c r="H131" s="171">
        <f>SUM(H88:I130)</f>
        <v>0</v>
      </c>
      <c r="I131" s="172"/>
      <c r="J131" s="171">
        <f>SUM(J88:K130)</f>
        <v>0</v>
      </c>
      <c r="K131" s="172"/>
      <c r="L131" s="171">
        <f>SUM(L88:M130)</f>
        <v>0</v>
      </c>
      <c r="M131" s="172"/>
    </row>
    <row r="132" spans="1:15">
      <c r="B132" s="153"/>
      <c r="C132" s="153"/>
      <c r="J132" s="17"/>
      <c r="K132" s="17"/>
      <c r="L132" s="17"/>
      <c r="M132" s="17"/>
      <c r="N132" s="17"/>
      <c r="O132" s="17"/>
    </row>
    <row r="133" spans="1:15" ht="21.75" customHeight="1">
      <c r="A133" s="66"/>
      <c r="B133" s="214" t="s">
        <v>155</v>
      </c>
      <c r="C133" s="215"/>
      <c r="D133" s="215"/>
      <c r="E133" s="215"/>
      <c r="F133" s="215"/>
      <c r="G133" s="215"/>
      <c r="H133" s="215"/>
      <c r="I133" s="215"/>
      <c r="J133" s="215"/>
      <c r="K133" s="215"/>
      <c r="L133" s="215"/>
      <c r="M133" s="215"/>
      <c r="N133" s="108"/>
    </row>
    <row r="135" spans="1:15" ht="15.75">
      <c r="B135" s="35" t="s">
        <v>281</v>
      </c>
      <c r="H135" s="108"/>
    </row>
    <row r="136" spans="1:15" ht="15.75">
      <c r="B136" s="35" t="s">
        <v>66</v>
      </c>
    </row>
  </sheetData>
  <mergeCells count="292">
    <mergeCell ref="L96:M96"/>
    <mergeCell ref="L97:M97"/>
    <mergeCell ref="L98:M98"/>
    <mergeCell ref="L90:M90"/>
    <mergeCell ref="L89:M89"/>
    <mergeCell ref="J126:K126"/>
    <mergeCell ref="J127:K127"/>
    <mergeCell ref="L126:M126"/>
    <mergeCell ref="L127:M127"/>
    <mergeCell ref="J103:K103"/>
    <mergeCell ref="J104:K104"/>
    <mergeCell ref="J105:K105"/>
    <mergeCell ref="J106:K106"/>
    <mergeCell ref="J107:K107"/>
    <mergeCell ref="B81:K81"/>
    <mergeCell ref="B133:M133"/>
    <mergeCell ref="L102:M102"/>
    <mergeCell ref="L103:M103"/>
    <mergeCell ref="L104:M104"/>
    <mergeCell ref="L105:M105"/>
    <mergeCell ref="L106:M106"/>
    <mergeCell ref="L107:M107"/>
    <mergeCell ref="L108:M108"/>
    <mergeCell ref="L116:M116"/>
    <mergeCell ref="L111:M111"/>
    <mergeCell ref="L112:M112"/>
    <mergeCell ref="L113:M113"/>
    <mergeCell ref="L114:M114"/>
    <mergeCell ref="L109:M109"/>
    <mergeCell ref="L110:M110"/>
    <mergeCell ref="L86:M86"/>
    <mergeCell ref="L91:M91"/>
    <mergeCell ref="L92:M92"/>
    <mergeCell ref="L94:M94"/>
    <mergeCell ref="L115:M115"/>
    <mergeCell ref="L87:M87"/>
    <mergeCell ref="L95:M95"/>
    <mergeCell ref="L128:M128"/>
    <mergeCell ref="L129:M129"/>
    <mergeCell ref="L99:M99"/>
    <mergeCell ref="L100:M100"/>
    <mergeCell ref="L101:M101"/>
    <mergeCell ref="L130:M130"/>
    <mergeCell ref="L125:M125"/>
    <mergeCell ref="L117:M117"/>
    <mergeCell ref="L118:M118"/>
    <mergeCell ref="L119:M119"/>
    <mergeCell ref="L120:M120"/>
    <mergeCell ref="L121:M121"/>
    <mergeCell ref="L122:M122"/>
    <mergeCell ref="L123:M123"/>
    <mergeCell ref="L124:M124"/>
    <mergeCell ref="J130:K130"/>
    <mergeCell ref="J94:K94"/>
    <mergeCell ref="J123:K123"/>
    <mergeCell ref="J89:K89"/>
    <mergeCell ref="J111:K111"/>
    <mergeCell ref="J112:K112"/>
    <mergeCell ref="J116:K116"/>
    <mergeCell ref="J108:K108"/>
    <mergeCell ref="J124:K124"/>
    <mergeCell ref="J125:K125"/>
    <mergeCell ref="J95:K95"/>
    <mergeCell ref="J96:K96"/>
    <mergeCell ref="J97:K97"/>
    <mergeCell ref="J98:K98"/>
    <mergeCell ref="J99:K99"/>
    <mergeCell ref="J100:K100"/>
    <mergeCell ref="J101:K101"/>
    <mergeCell ref="J128:K128"/>
    <mergeCell ref="J129:K129"/>
    <mergeCell ref="H89:I89"/>
    <mergeCell ref="J102:K102"/>
    <mergeCell ref="C95:E95"/>
    <mergeCell ref="B86:E87"/>
    <mergeCell ref="H86:I86"/>
    <mergeCell ref="H87:I87"/>
    <mergeCell ref="H95:I95"/>
    <mergeCell ref="H96:I96"/>
    <mergeCell ref="B95:B98"/>
    <mergeCell ref="C98:E98"/>
    <mergeCell ref="B91:B94"/>
    <mergeCell ref="C91:E91"/>
    <mergeCell ref="C92:E92"/>
    <mergeCell ref="C94:E94"/>
    <mergeCell ref="C97:E97"/>
    <mergeCell ref="C89:E89"/>
    <mergeCell ref="B88:B90"/>
    <mergeCell ref="C88:E88"/>
    <mergeCell ref="C90:E90"/>
    <mergeCell ref="F88:G88"/>
    <mergeCell ref="F90:G90"/>
    <mergeCell ref="H90:I90"/>
    <mergeCell ref="F89:G89"/>
    <mergeCell ref="C96:E96"/>
    <mergeCell ref="F91:G91"/>
    <mergeCell ref="F92:G92"/>
    <mergeCell ref="B109:B110"/>
    <mergeCell ref="B127:B128"/>
    <mergeCell ref="B129:B130"/>
    <mergeCell ref="C101:E101"/>
    <mergeCell ref="C102:E102"/>
    <mergeCell ref="B114:B119"/>
    <mergeCell ref="C109:E109"/>
    <mergeCell ref="C116:E116"/>
    <mergeCell ref="C115:E115"/>
    <mergeCell ref="C114:E114"/>
    <mergeCell ref="C113:E113"/>
    <mergeCell ref="B120:B126"/>
    <mergeCell ref="C112:E112"/>
    <mergeCell ref="C111:E111"/>
    <mergeCell ref="C110:E110"/>
    <mergeCell ref="C130:E130"/>
    <mergeCell ref="C121:E121"/>
    <mergeCell ref="C120:E120"/>
    <mergeCell ref="C119:E119"/>
    <mergeCell ref="C118:E118"/>
    <mergeCell ref="C117:E117"/>
    <mergeCell ref="C126:E126"/>
    <mergeCell ref="C125:E125"/>
    <mergeCell ref="C124:E124"/>
    <mergeCell ref="B132:C132"/>
    <mergeCell ref="B131:E131"/>
    <mergeCell ref="B51:E51"/>
    <mergeCell ref="F2:G2"/>
    <mergeCell ref="C25:D25"/>
    <mergeCell ref="C2:D2"/>
    <mergeCell ref="B3:M3"/>
    <mergeCell ref="C20:E20"/>
    <mergeCell ref="H18:I18"/>
    <mergeCell ref="H19:I19"/>
    <mergeCell ref="H20:I20"/>
    <mergeCell ref="H21:I21"/>
    <mergeCell ref="H24:I24"/>
    <mergeCell ref="C103:E103"/>
    <mergeCell ref="C104:E104"/>
    <mergeCell ref="C105:E105"/>
    <mergeCell ref="C106:E106"/>
    <mergeCell ref="C107:E107"/>
    <mergeCell ref="C108:E108"/>
    <mergeCell ref="B111:B113"/>
    <mergeCell ref="B99:B105"/>
    <mergeCell ref="B106:B108"/>
    <mergeCell ref="F131:G131"/>
    <mergeCell ref="H118:I118"/>
    <mergeCell ref="J115:K115"/>
    <mergeCell ref="H116:I116"/>
    <mergeCell ref="H117:I117"/>
    <mergeCell ref="F119:G119"/>
    <mergeCell ref="F120:G120"/>
    <mergeCell ref="C129:E129"/>
    <mergeCell ref="C128:E128"/>
    <mergeCell ref="C127:E127"/>
    <mergeCell ref="F126:G126"/>
    <mergeCell ref="F127:G127"/>
    <mergeCell ref="F128:G128"/>
    <mergeCell ref="F129:G129"/>
    <mergeCell ref="H122:I122"/>
    <mergeCell ref="H123:I123"/>
    <mergeCell ref="H124:I124"/>
    <mergeCell ref="H125:I125"/>
    <mergeCell ref="H126:I126"/>
    <mergeCell ref="H127:I127"/>
    <mergeCell ref="H128:I128"/>
    <mergeCell ref="H129:I129"/>
    <mergeCell ref="F125:G125"/>
    <mergeCell ref="C123:E123"/>
    <mergeCell ref="H119:I119"/>
    <mergeCell ref="H120:I120"/>
    <mergeCell ref="C122:E122"/>
    <mergeCell ref="C100:E100"/>
    <mergeCell ref="C99:E99"/>
    <mergeCell ref="F97:G97"/>
    <mergeCell ref="H102:I102"/>
    <mergeCell ref="H103:I103"/>
    <mergeCell ref="H104:I104"/>
    <mergeCell ref="H105:I105"/>
    <mergeCell ref="H106:I106"/>
    <mergeCell ref="F112:G112"/>
    <mergeCell ref="F98:G98"/>
    <mergeCell ref="F99:G99"/>
    <mergeCell ref="F100:G100"/>
    <mergeCell ref="H97:I97"/>
    <mergeCell ref="F101:G101"/>
    <mergeCell ref="H98:I98"/>
    <mergeCell ref="H99:I99"/>
    <mergeCell ref="H100:I100"/>
    <mergeCell ref="H101:I101"/>
    <mergeCell ref="F102:G102"/>
    <mergeCell ref="F103:G103"/>
    <mergeCell ref="F118:G118"/>
    <mergeCell ref="H114:I114"/>
    <mergeCell ref="H121:I121"/>
    <mergeCell ref="F94:G94"/>
    <mergeCell ref="H91:I91"/>
    <mergeCell ref="H92:I92"/>
    <mergeCell ref="H94:I94"/>
    <mergeCell ref="F113:G113"/>
    <mergeCell ref="F114:G114"/>
    <mergeCell ref="F115:G115"/>
    <mergeCell ref="F104:G104"/>
    <mergeCell ref="F105:G105"/>
    <mergeCell ref="F106:G106"/>
    <mergeCell ref="F107:G107"/>
    <mergeCell ref="F108:G108"/>
    <mergeCell ref="F109:G109"/>
    <mergeCell ref="F110:G110"/>
    <mergeCell ref="F111:G111"/>
    <mergeCell ref="H111:I111"/>
    <mergeCell ref="H112:I112"/>
    <mergeCell ref="H113:I113"/>
    <mergeCell ref="F95:G95"/>
    <mergeCell ref="F96:G96"/>
    <mergeCell ref="H109:I109"/>
    <mergeCell ref="H110:I110"/>
    <mergeCell ref="H107:I107"/>
    <mergeCell ref="H108:I108"/>
    <mergeCell ref="H131:I131"/>
    <mergeCell ref="J131:K131"/>
    <mergeCell ref="L131:M131"/>
    <mergeCell ref="F121:G121"/>
    <mergeCell ref="F122:G122"/>
    <mergeCell ref="F123:G123"/>
    <mergeCell ref="F124:G124"/>
    <mergeCell ref="H115:I115"/>
    <mergeCell ref="J109:K109"/>
    <mergeCell ref="J110:K110"/>
    <mergeCell ref="J113:K113"/>
    <mergeCell ref="J114:K114"/>
    <mergeCell ref="J117:K117"/>
    <mergeCell ref="J118:K118"/>
    <mergeCell ref="J119:K119"/>
    <mergeCell ref="J120:K120"/>
    <mergeCell ref="J121:K121"/>
    <mergeCell ref="J122:K122"/>
    <mergeCell ref="F130:G130"/>
    <mergeCell ref="H130:I130"/>
    <mergeCell ref="F116:G116"/>
    <mergeCell ref="F117:G117"/>
    <mergeCell ref="C93:E93"/>
    <mergeCell ref="F93:G93"/>
    <mergeCell ref="H93:I93"/>
    <mergeCell ref="J93:K93"/>
    <mergeCell ref="L93:M93"/>
    <mergeCell ref="B53:O53"/>
    <mergeCell ref="H88:I88"/>
    <mergeCell ref="J88:K88"/>
    <mergeCell ref="L88:M88"/>
    <mergeCell ref="F86:G86"/>
    <mergeCell ref="F87:G87"/>
    <mergeCell ref="J91:K91"/>
    <mergeCell ref="J92:K92"/>
    <mergeCell ref="B63:C63"/>
    <mergeCell ref="J90:K90"/>
    <mergeCell ref="B85:E85"/>
    <mergeCell ref="B73:I73"/>
    <mergeCell ref="B78:M78"/>
    <mergeCell ref="B79:M79"/>
    <mergeCell ref="B68:O68"/>
    <mergeCell ref="B69:O69"/>
    <mergeCell ref="C71:D71"/>
    <mergeCell ref="J86:K86"/>
    <mergeCell ref="J87:K87"/>
    <mergeCell ref="H25:I25"/>
    <mergeCell ref="J25:K25"/>
    <mergeCell ref="H26:I26"/>
    <mergeCell ref="J26:K26"/>
    <mergeCell ref="B49:F49"/>
    <mergeCell ref="B47:F47"/>
    <mergeCell ref="B28:C28"/>
    <mergeCell ref="C29:E29"/>
    <mergeCell ref="B52:O52"/>
    <mergeCell ref="B8:M8"/>
    <mergeCell ref="D12:M12"/>
    <mergeCell ref="B14:D14"/>
    <mergeCell ref="J18:L18"/>
    <mergeCell ref="C19:E19"/>
    <mergeCell ref="J19:L19"/>
    <mergeCell ref="J20:L20"/>
    <mergeCell ref="J21:L21"/>
    <mergeCell ref="H22:I22"/>
    <mergeCell ref="H23:I23"/>
    <mergeCell ref="J23:L23"/>
    <mergeCell ref="J24:L24"/>
    <mergeCell ref="B46:F46"/>
    <mergeCell ref="B48:F48"/>
    <mergeCell ref="C36:E36"/>
    <mergeCell ref="C37:E37"/>
    <mergeCell ref="C38:E38"/>
    <mergeCell ref="C39:E39"/>
    <mergeCell ref="C42:E42"/>
    <mergeCell ref="G46:H46"/>
  </mergeCells>
  <conditionalFormatting sqref="C56:F58">
    <cfRule type="cellIs" dxfId="8" priority="19" operator="equal">
      <formula>""</formula>
    </cfRule>
  </conditionalFormatting>
  <conditionalFormatting sqref="C71:D71">
    <cfRule type="cellIs" dxfId="7" priority="18" operator="equal">
      <formula>""</formula>
    </cfRule>
  </conditionalFormatting>
  <conditionalFormatting sqref="B69:O69">
    <cfRule type="expression" dxfId="6" priority="17">
      <formula>$G$48="X"</formula>
    </cfRule>
  </conditionalFormatting>
  <conditionalFormatting sqref="B53:O53">
    <cfRule type="expression" dxfId="5" priority="16">
      <formula>$G$48="X"</formula>
    </cfRule>
  </conditionalFormatting>
  <conditionalFormatting sqref="B79:M79">
    <cfRule type="expression" dxfId="4" priority="11">
      <formula>$G$46&lt;&gt;""</formula>
    </cfRule>
  </conditionalFormatting>
  <conditionalFormatting sqref="C18">
    <cfRule type="expression" dxfId="3" priority="10">
      <formula>$C$18=""</formula>
    </cfRule>
  </conditionalFormatting>
  <conditionalFormatting sqref="C12">
    <cfRule type="expression" dxfId="2" priority="4">
      <formula>$C$12=0</formula>
    </cfRule>
  </conditionalFormatting>
  <conditionalFormatting sqref="D12:M12">
    <cfRule type="expression" dxfId="1" priority="1">
      <formula>$C$12=""</formula>
    </cfRule>
    <cfRule type="expression" dxfId="0" priority="2">
      <formula>OR($C$12&lt;1,$C$12="")</formula>
    </cfRule>
  </conditionalFormatting>
  <dataValidations count="5">
    <dataValidation type="decimal" errorStyle="information" operator="greaterThanOrEqual" allowBlank="1" showInputMessage="1" showErrorMessage="1" errorTitle="Données invalides" error="Merci d'entrée un montant valide" sqref="C12:C13">
      <formula1>0</formula1>
    </dataValidation>
    <dataValidation type="list" allowBlank="1" showInputMessage="1" showErrorMessage="1" sqref="C23 C32">
      <formula1>Liste_Region</formula1>
    </dataValidation>
    <dataValidation type="list" allowBlank="1" showInputMessage="1" showErrorMessage="1" sqref="E14 G47:G49">
      <formula1>Liste_X</formula1>
    </dataValidation>
    <dataValidation type="list" allowBlank="1" showInputMessage="1" showErrorMessage="1" sqref="C25:D25">
      <formula1>Liste_Activite</formula1>
    </dataValidation>
    <dataValidation type="list" allowBlank="1" showInputMessage="1" showErrorMessage="1" sqref="C71">
      <formula1>Liste_Option</formula1>
    </dataValidation>
  </dataValidations>
  <pageMargins left="0.7" right="0.7" top="0.75" bottom="0.75" header="0.3" footer="0.3"/>
  <pageSetup paperSize="9" scale="53"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0:AM134"/>
  <sheetViews>
    <sheetView topLeftCell="A90" workbookViewId="0">
      <selection activeCell="O138" sqref="O138"/>
    </sheetView>
  </sheetViews>
  <sheetFormatPr baseColWidth="10" defaultRowHeight="15"/>
  <cols>
    <col min="9" max="9" width="42.140625" customWidth="1"/>
    <col min="10" max="10" width="39.42578125" customWidth="1"/>
    <col min="11" max="11" width="29.28515625" customWidth="1"/>
    <col min="13" max="13" width="14.28515625" customWidth="1"/>
  </cols>
  <sheetData>
    <row r="10" spans="9:11">
      <c r="I10" s="95" t="s">
        <v>170</v>
      </c>
      <c r="J10" s="95" t="s">
        <v>41</v>
      </c>
    </row>
    <row r="11" spans="9:11">
      <c r="I11" s="95" t="s">
        <v>171</v>
      </c>
      <c r="J11" s="95" t="s">
        <v>283</v>
      </c>
    </row>
    <row r="12" spans="9:11">
      <c r="I12" s="96" t="s">
        <v>172</v>
      </c>
      <c r="J12" s="97" t="str">
        <f>IF(DateDemande="","",DateDemande)</f>
        <v/>
      </c>
    </row>
    <row r="13" spans="9:11">
      <c r="I13" s="96" t="s">
        <v>173</v>
      </c>
      <c r="J13" s="96" t="str">
        <f>IF(DroitAide2021="","",DroitAide2021)</f>
        <v/>
      </c>
    </row>
    <row r="14" spans="9:11">
      <c r="I14" s="96" t="s">
        <v>174</v>
      </c>
      <c r="J14" s="96"/>
      <c r="K14" s="98"/>
    </row>
    <row r="15" spans="9:11">
      <c r="I15" s="96" t="s">
        <v>175</v>
      </c>
      <c r="J15" s="96" t="str">
        <f>IF(NomEntreprise="","",NomEntreprise)</f>
        <v/>
      </c>
    </row>
    <row r="16" spans="9:11">
      <c r="I16" s="96" t="s">
        <v>176</v>
      </c>
      <c r="J16" s="96" t="str">
        <f>IF(RueEntreprise="","",RueEntreprise)</f>
        <v/>
      </c>
    </row>
    <row r="17" spans="9:11">
      <c r="I17" s="96" t="s">
        <v>177</v>
      </c>
      <c r="J17" s="96" t="str">
        <f>IF(CodePostaleEntreprise="","",CodePostaleEntreprise)</f>
        <v/>
      </c>
    </row>
    <row r="18" spans="9:11">
      <c r="I18" s="96" t="s">
        <v>178</v>
      </c>
      <c r="J18" s="96" t="str">
        <f>IF(LocaliteEntreprise="","",LocaliteEntreprise)</f>
        <v/>
      </c>
    </row>
    <row r="19" spans="9:11">
      <c r="I19" s="96" t="s">
        <v>179</v>
      </c>
      <c r="J19" s="96" t="str">
        <f>IF(RegionEntreprise="","",RegionEntreprise)</f>
        <v/>
      </c>
    </row>
    <row r="20" spans="9:11">
      <c r="I20" s="96" t="s">
        <v>180</v>
      </c>
      <c r="J20" s="96" t="str">
        <f>IF(RueSiege="","",RueSiege)</f>
        <v/>
      </c>
      <c r="K20" s="98"/>
    </row>
    <row r="21" spans="9:11">
      <c r="I21" s="96" t="s">
        <v>181</v>
      </c>
      <c r="J21" s="96" t="str">
        <f>IF(CodePostaleSiege="","",CodePostaleSiege)</f>
        <v/>
      </c>
      <c r="K21" s="98"/>
    </row>
    <row r="22" spans="9:11">
      <c r="I22" s="96" t="s">
        <v>182</v>
      </c>
      <c r="J22" s="96" t="str">
        <f>IF(LocaliteSiege="","",LocaliteSiege)</f>
        <v/>
      </c>
      <c r="K22" s="98"/>
    </row>
    <row r="23" spans="9:11">
      <c r="I23" s="96" t="s">
        <v>183</v>
      </c>
      <c r="J23" s="96" t="str">
        <f>IF(RegionSiege="","",RegionSiege)</f>
        <v/>
      </c>
      <c r="K23" s="98"/>
    </row>
    <row r="24" spans="9:11">
      <c r="I24" s="96" t="s">
        <v>184</v>
      </c>
      <c r="J24" s="96" t="str">
        <f>IF(NomContact="","",NomContact)</f>
        <v/>
      </c>
    </row>
    <row r="25" spans="9:11">
      <c r="I25" s="96" t="s">
        <v>185</v>
      </c>
      <c r="J25" s="96" t="str">
        <f>IF(PrenomContact="","",PrenomContact)</f>
        <v/>
      </c>
    </row>
    <row r="26" spans="9:11">
      <c r="I26" s="96" t="s">
        <v>186</v>
      </c>
      <c r="J26" s="96" t="str">
        <f>IF(FonctionContact="","",FonctionContact)</f>
        <v/>
      </c>
    </row>
    <row r="27" spans="9:11">
      <c r="I27" s="96" t="s">
        <v>187</v>
      </c>
      <c r="J27" s="96" t="str">
        <f>IF(RueContact="","",RueContact)</f>
        <v/>
      </c>
    </row>
    <row r="28" spans="9:11">
      <c r="I28" s="96" t="s">
        <v>188</v>
      </c>
      <c r="J28" s="96" t="str">
        <f>IF(CodePostalContact="","",CodePostalContact)</f>
        <v/>
      </c>
    </row>
    <row r="29" spans="9:11">
      <c r="I29" s="96" t="s">
        <v>189</v>
      </c>
      <c r="J29" s="96" t="str">
        <f>IF(LocaliteContact="","",LocaliteContact)</f>
        <v/>
      </c>
    </row>
    <row r="30" spans="9:11">
      <c r="I30" s="96" t="s">
        <v>190</v>
      </c>
      <c r="J30" s="96" t="str">
        <f>IF(MailContact="","",MailContact)</f>
        <v/>
      </c>
    </row>
    <row r="31" spans="9:11">
      <c r="I31" s="96" t="s">
        <v>191</v>
      </c>
      <c r="J31" s="96" t="str">
        <f>IF(TelephoneContact="","",TelephoneContact)</f>
        <v/>
      </c>
    </row>
    <row r="32" spans="9:11">
      <c r="I32" s="96" t="s">
        <v>192</v>
      </c>
      <c r="J32" s="96" t="str">
        <f>IF(PortableContact="","",PortableContact)</f>
        <v/>
      </c>
    </row>
    <row r="33" spans="9:11">
      <c r="I33" s="96" t="s">
        <v>193</v>
      </c>
      <c r="J33" s="96" t="str">
        <f>IF(IDE="","",IDE)</f>
        <v/>
      </c>
    </row>
    <row r="34" spans="9:11">
      <c r="I34" s="96" t="s">
        <v>194</v>
      </c>
      <c r="J34" s="96"/>
      <c r="K34" s="98"/>
    </row>
    <row r="35" spans="9:11">
      <c r="I35" s="96" t="s">
        <v>195</v>
      </c>
      <c r="J35" s="96"/>
      <c r="K35" s="98"/>
    </row>
    <row r="36" spans="9:11">
      <c r="I36" s="96" t="s">
        <v>196</v>
      </c>
      <c r="J36" s="97"/>
      <c r="K36" s="98"/>
    </row>
    <row r="37" spans="9:11">
      <c r="I37" s="96" t="s">
        <v>197</v>
      </c>
      <c r="J37" s="96" t="str">
        <f>IF(Activite="","",Activite)</f>
        <v/>
      </c>
    </row>
    <row r="38" spans="9:11">
      <c r="I38" s="96" t="s">
        <v>198</v>
      </c>
      <c r="J38" s="96" t="str">
        <f>IF(SiteWeb="","",SiteWeb)</f>
        <v/>
      </c>
    </row>
    <row r="39" spans="9:11">
      <c r="I39" s="96" t="s">
        <v>199</v>
      </c>
      <c r="J39" s="96"/>
      <c r="K39" s="98"/>
    </row>
    <row r="40" spans="9:11">
      <c r="I40" s="96" t="s">
        <v>200</v>
      </c>
      <c r="J40" s="96"/>
      <c r="K40" s="98"/>
    </row>
    <row r="41" spans="9:11">
      <c r="I41" s="96" t="s">
        <v>201</v>
      </c>
      <c r="J41" s="96"/>
      <c r="K41" s="98"/>
    </row>
    <row r="42" spans="9:11">
      <c r="I42" s="96" t="s">
        <v>202</v>
      </c>
      <c r="J42" s="96"/>
      <c r="K42" s="98"/>
    </row>
    <row r="43" spans="9:11">
      <c r="I43" s="96" t="s">
        <v>203</v>
      </c>
      <c r="J43" s="96" t="str">
        <f>IF(Iban="","",Iban)</f>
        <v/>
      </c>
    </row>
    <row r="44" spans="9:11">
      <c r="I44" s="96" t="s">
        <v>43</v>
      </c>
      <c r="J44" s="96" t="str">
        <f>IF(CCP="","",CCP)</f>
        <v/>
      </c>
    </row>
    <row r="45" spans="9:11">
      <c r="I45" s="96" t="s">
        <v>44</v>
      </c>
      <c r="J45" s="96" t="str">
        <f>IF(Banque="","",Banque)</f>
        <v/>
      </c>
    </row>
    <row r="46" spans="9:11">
      <c r="I46" s="96" t="s">
        <v>204</v>
      </c>
      <c r="J46" s="96" t="str">
        <f>IF(NumeroCompte="","",NumeroCompte)</f>
        <v/>
      </c>
    </row>
    <row r="47" spans="9:11">
      <c r="I47" s="96" t="s">
        <v>205</v>
      </c>
      <c r="J47" s="96" t="str">
        <f>IF(GCP="","",GCP)</f>
        <v/>
      </c>
    </row>
    <row r="48" spans="9:11">
      <c r="I48" s="96" t="s">
        <v>206</v>
      </c>
      <c r="J48" s="97"/>
      <c r="K48" s="98"/>
    </row>
    <row r="49" spans="9:15">
      <c r="I49" s="96" t="s">
        <v>207</v>
      </c>
      <c r="J49" s="97"/>
      <c r="K49" s="98"/>
    </row>
    <row r="50" spans="9:15">
      <c r="I50" s="96" t="s">
        <v>208</v>
      </c>
      <c r="J50" s="97"/>
      <c r="K50" s="98"/>
    </row>
    <row r="51" spans="9:15">
      <c r="I51" s="96" t="s">
        <v>209</v>
      </c>
      <c r="J51" s="96"/>
      <c r="K51" s="98"/>
    </row>
    <row r="52" spans="9:15">
      <c r="I52" s="96" t="s">
        <v>210</v>
      </c>
      <c r="J52" s="96"/>
      <c r="K52" s="98"/>
    </row>
    <row r="53" spans="9:15">
      <c r="I53" s="96" t="s">
        <v>211</v>
      </c>
      <c r="J53" s="96"/>
      <c r="K53" s="98"/>
    </row>
    <row r="54" spans="9:15">
      <c r="I54" s="96" t="s">
        <v>212</v>
      </c>
      <c r="J54" s="96"/>
      <c r="K54" s="98"/>
    </row>
    <row r="55" spans="9:15">
      <c r="I55" s="96" t="s">
        <v>213</v>
      </c>
      <c r="J55" s="96" t="str">
        <f>IF(OptionCalculdesCharges="","",OptionCalculdesCharges)</f>
        <v/>
      </c>
    </row>
    <row r="56" spans="9:15">
      <c r="I56" s="96" t="s">
        <v>214</v>
      </c>
      <c r="J56" s="96" t="str">
        <f>IF(ChargesAnnuelles="","",ChargesAnnuelles)</f>
        <v/>
      </c>
    </row>
    <row r="57" spans="9:15">
      <c r="I57" t="s">
        <v>215</v>
      </c>
      <c r="K57" s="98"/>
    </row>
    <row r="58" spans="9:15">
      <c r="I58" t="s">
        <v>216</v>
      </c>
      <c r="J58" s="99" t="str">
        <f>IF(Cas1DejaAidee="","",Cas1DejaAidee)</f>
        <v/>
      </c>
    </row>
    <row r="59" spans="9:15" ht="15.75">
      <c r="I59" t="s">
        <v>217</v>
      </c>
      <c r="J59" t="str">
        <f>IF(Cas2DejaAidee="","",Cas2DejaAidee)</f>
        <v/>
      </c>
      <c r="K59" s="100" t="s">
        <v>218</v>
      </c>
    </row>
    <row r="60" spans="9:15">
      <c r="I60" t="s">
        <v>219</v>
      </c>
      <c r="J60" t="str">
        <f>IF(Cas3_1DejaAidee="","",Cas3_1DejaAidee)</f>
        <v/>
      </c>
    </row>
    <row r="61" spans="9:15">
      <c r="I61" t="s">
        <v>220</v>
      </c>
      <c r="J61" t="str">
        <f>IF(Cas3_2DejaAidee="","",Cas3_2DejaAidee)</f>
        <v/>
      </c>
      <c r="K61" s="1" t="s">
        <v>11</v>
      </c>
      <c r="L61" s="1" t="s">
        <v>221</v>
      </c>
      <c r="M61" s="1">
        <v>2018</v>
      </c>
      <c r="N61" s="1">
        <v>2019</v>
      </c>
    </row>
    <row r="62" spans="9:15">
      <c r="I62" t="s">
        <v>222</v>
      </c>
      <c r="J62" t="str">
        <f>IF(OpositionEnCours="","",OpositionEnCours)</f>
        <v/>
      </c>
      <c r="K62" t="s">
        <v>14</v>
      </c>
      <c r="L62">
        <v>1</v>
      </c>
      <c r="O62" s="98"/>
    </row>
    <row r="63" spans="9:15">
      <c r="I63" t="s">
        <v>223</v>
      </c>
      <c r="J63" t="str">
        <f>IF(TelephoneEntreprise="","",TelephoneEntreprise)</f>
        <v/>
      </c>
      <c r="K63" t="s">
        <v>13</v>
      </c>
      <c r="L63">
        <v>2</v>
      </c>
      <c r="O63" s="98"/>
    </row>
    <row r="64" spans="9:15">
      <c r="K64" t="s">
        <v>12</v>
      </c>
      <c r="L64">
        <v>3</v>
      </c>
      <c r="O64" s="98"/>
    </row>
    <row r="68" spans="10:39" ht="15.75">
      <c r="K68" s="101" t="s">
        <v>224</v>
      </c>
    </row>
    <row r="70" spans="10:39">
      <c r="K70" s="1" t="s">
        <v>11</v>
      </c>
      <c r="L70" s="1" t="s">
        <v>221</v>
      </c>
      <c r="M70" s="1">
        <v>2018</v>
      </c>
      <c r="N70" s="1">
        <v>2019</v>
      </c>
    </row>
    <row r="71" spans="10:39">
      <c r="J71" s="98"/>
      <c r="K71" t="s">
        <v>225</v>
      </c>
      <c r="L71">
        <v>1</v>
      </c>
    </row>
    <row r="74" spans="10:39" ht="18.75">
      <c r="K74" t="s">
        <v>226</v>
      </c>
    </row>
    <row r="76" spans="10:39">
      <c r="K76" s="102" t="s">
        <v>11</v>
      </c>
      <c r="L76" s="102" t="s">
        <v>221</v>
      </c>
      <c r="M76" s="102" t="s">
        <v>25</v>
      </c>
      <c r="N76" s="102" t="s">
        <v>26</v>
      </c>
      <c r="O76" s="102" t="s">
        <v>5</v>
      </c>
      <c r="P76" s="102" t="s">
        <v>6</v>
      </c>
      <c r="Q76" s="102" t="s">
        <v>7</v>
      </c>
      <c r="R76" s="102" t="s">
        <v>8</v>
      </c>
      <c r="S76" s="102" t="s">
        <v>9</v>
      </c>
      <c r="T76" s="102" t="s">
        <v>10</v>
      </c>
      <c r="U76" s="102" t="s">
        <v>27</v>
      </c>
      <c r="V76" s="102" t="s">
        <v>28</v>
      </c>
      <c r="W76" s="102" t="s">
        <v>29</v>
      </c>
      <c r="X76" s="102" t="s">
        <v>30</v>
      </c>
      <c r="Y76" s="102" t="s">
        <v>106</v>
      </c>
      <c r="Z76" s="102" t="s">
        <v>105</v>
      </c>
      <c r="AA76" s="102" t="s">
        <v>107</v>
      </c>
      <c r="AB76" s="102" t="s">
        <v>108</v>
      </c>
      <c r="AC76" s="102" t="s">
        <v>109</v>
      </c>
      <c r="AD76" s="102" t="s">
        <v>110</v>
      </c>
      <c r="AE76" s="103"/>
      <c r="AF76" s="103"/>
      <c r="AG76" s="103"/>
      <c r="AH76" s="103"/>
      <c r="AI76" s="103"/>
      <c r="AJ76" s="103"/>
      <c r="AK76" s="103"/>
      <c r="AL76" s="103"/>
      <c r="AM76" s="103"/>
    </row>
    <row r="77" spans="10:39">
      <c r="J77" s="98"/>
      <c r="K77" t="s">
        <v>227</v>
      </c>
      <c r="L77">
        <v>1</v>
      </c>
    </row>
    <row r="80" spans="10:39">
      <c r="K80" s="1" t="s">
        <v>228</v>
      </c>
      <c r="L80" s="1"/>
    </row>
    <row r="82" spans="11:16">
      <c r="K82" s="1" t="s">
        <v>11</v>
      </c>
      <c r="L82" s="1" t="s">
        <v>221</v>
      </c>
      <c r="M82" s="102" t="s">
        <v>229</v>
      </c>
      <c r="N82" s="102" t="s">
        <v>230</v>
      </c>
      <c r="O82" s="102" t="s">
        <v>231</v>
      </c>
      <c r="P82" s="102" t="s">
        <v>232</v>
      </c>
    </row>
    <row r="83" spans="11:16">
      <c r="K83" t="s">
        <v>233</v>
      </c>
      <c r="L83">
        <v>1</v>
      </c>
      <c r="M83" t="str">
        <f>IF(CAComRevenuDecembre2021="","",CAComRevenuDecembre2021)</f>
        <v/>
      </c>
      <c r="N83" t="str">
        <f>IF(CAComRevenuJanvier2022="","",CAComRevenuJanvier2022)</f>
        <v/>
      </c>
      <c r="O83" t="str">
        <f>IF(CAComRevenuFevrier2022="","",CAComRevenuFevrier2022)</f>
        <v/>
      </c>
      <c r="P83" t="str">
        <f>IF(CAComRevenuMars2022="","",CAComRevenuMars2022)</f>
        <v/>
      </c>
    </row>
    <row r="84" spans="11:16">
      <c r="K84" t="s">
        <v>234</v>
      </c>
      <c r="L84">
        <v>2</v>
      </c>
      <c r="M84" t="str">
        <f>IF(MontantRevenuRHTDecembre2021="","",MontantRevenuRHTDecembre2021)</f>
        <v/>
      </c>
      <c r="N84" t="str">
        <f>IF(MontantRevenuRHTJanvier2022="","",MontantRevenuRHTJanvier2022)</f>
        <v/>
      </c>
      <c r="O84" t="str">
        <f>IF(MontantRevenuRHTFevrier2022="","",MontantRevenuRHTFevrier2022)</f>
        <v/>
      </c>
      <c r="P84" t="str">
        <f>IF(MontantRevenuRHTMars2022="","",MontantRevenuRHTMars2022)</f>
        <v/>
      </c>
    </row>
    <row r="85" spans="11:16">
      <c r="K85" t="s">
        <v>235</v>
      </c>
      <c r="L85">
        <v>3</v>
      </c>
      <c r="M85" t="str">
        <f>IF(MontantRevenuAPGDecembre2021="","",MontantRevenuAPGDecembre2021)</f>
        <v/>
      </c>
      <c r="N85" t="str">
        <f>IF(MontantRevenuAPGJanvier2022="","",MontantRevenuAPGJanvier2022)</f>
        <v/>
      </c>
      <c r="O85" t="str">
        <f>IF(MontantRevenuAPGFevrier2022="","",MontantRevenuAPGFevrier2022)</f>
        <v/>
      </c>
      <c r="P85" t="str">
        <f>IF(MontantRevenuAPGMars2022="","",MontantRevenuAPGMars2022)</f>
        <v/>
      </c>
    </row>
    <row r="88" spans="11:16">
      <c r="K88" s="1" t="s">
        <v>146</v>
      </c>
    </row>
    <row r="90" spans="11:16">
      <c r="K90" s="1" t="s">
        <v>11</v>
      </c>
      <c r="L90" s="1" t="s">
        <v>221</v>
      </c>
      <c r="M90" s="102" t="s">
        <v>229</v>
      </c>
      <c r="N90" s="102" t="s">
        <v>230</v>
      </c>
      <c r="O90" s="102" t="s">
        <v>231</v>
      </c>
      <c r="P90" s="102" t="s">
        <v>232</v>
      </c>
    </row>
    <row r="91" spans="11:16">
      <c r="K91" t="s">
        <v>236</v>
      </c>
      <c r="L91">
        <v>1</v>
      </c>
      <c r="M91" t="str">
        <f>IF(MaterielDecembre2021="","",MaterielDecembre2021)</f>
        <v/>
      </c>
      <c r="N91" t="str">
        <f>IF(MaterielJanvier2022="","",MaterielJanvier2022)</f>
        <v/>
      </c>
      <c r="O91" t="str">
        <f>IF(MaterielFevrier2022="","",MaterielFevrier2022)</f>
        <v/>
      </c>
      <c r="P91" t="str">
        <f>IF(MaterielMars2022="","",MaterielMars2022)</f>
        <v/>
      </c>
    </row>
    <row r="92" spans="11:16">
      <c r="K92" t="s">
        <v>237</v>
      </c>
      <c r="L92">
        <v>2</v>
      </c>
      <c r="M92" t="str">
        <f>IF(PrestationDecembre2021="","",PrestationDecembre2021)</f>
        <v/>
      </c>
      <c r="N92" t="str">
        <f>IF(PrestationJanvier2022="","",PrestationJanvier2022)</f>
        <v/>
      </c>
      <c r="O92" t="str">
        <f>IF(PrestationFevrier2022="","",PrestationFevrier2022)</f>
        <v/>
      </c>
      <c r="P92" t="str">
        <f>IF(PrestationMars2022="","",PrestationMars2022)</f>
        <v/>
      </c>
    </row>
    <row r="93" spans="11:16" ht="15.75" thickBot="1">
      <c r="K93" s="104" t="s">
        <v>238</v>
      </c>
      <c r="L93">
        <v>3</v>
      </c>
      <c r="M93" t="str">
        <f>IF(AutreFraisAchatDecembre2021="","",AutreFraisAchatDecembre2021)</f>
        <v/>
      </c>
      <c r="N93" t="str">
        <f>IF(AutreFraisAchatJanvier2022="","",AutreFraisAchatJanvier2022)</f>
        <v/>
      </c>
      <c r="O93" t="str">
        <f>IF(AutreFraisAchatFevrier2022="","",AutreFraisAchatFevrier2022)</f>
        <v/>
      </c>
      <c r="P93" t="str">
        <f>IF(AutreFraisAchatMars2022="","",AutreFraisAchatMars2022)</f>
        <v/>
      </c>
    </row>
    <row r="94" spans="11:16">
      <c r="K94" t="s">
        <v>126</v>
      </c>
      <c r="L94">
        <v>4</v>
      </c>
      <c r="M94" t="str">
        <f>IF(SalairesDecembre2021="","",SalairesDecembre2021)</f>
        <v/>
      </c>
      <c r="N94" t="str">
        <f>IF(SalairesJanvier2022="","",SalairesJanvier2022)</f>
        <v/>
      </c>
      <c r="O94" t="str">
        <f>IF(SalairesFevrier2022="","",SalairesFevrier2022)</f>
        <v/>
      </c>
      <c r="P94" t="str">
        <f>IF(SalairesMars2022="","",SalairesMars2022)</f>
        <v/>
      </c>
    </row>
    <row r="95" spans="11:16">
      <c r="K95" t="s">
        <v>239</v>
      </c>
      <c r="L95">
        <v>5</v>
      </c>
      <c r="M95" t="str">
        <f>IF(ChargesSocialeDecembre2021="","",ChargesSocialeDecembre2021)</f>
        <v/>
      </c>
      <c r="N95" t="str">
        <f>IF(ChargesSocialeJanvier22="","",ChargesSocialeJanvier22)</f>
        <v/>
      </c>
      <c r="O95" t="str">
        <f>IF(ChargesSocialeFevrier2022="","",ChargesSocialeFevrier2022)</f>
        <v/>
      </c>
      <c r="P95" t="str">
        <f>IF(ChargesSocialeMars2022="","",ChargesSocialeMars2022)</f>
        <v/>
      </c>
    </row>
    <row r="96" spans="11:16">
      <c r="K96" t="s">
        <v>240</v>
      </c>
      <c r="L96">
        <v>6</v>
      </c>
      <c r="M96" t="str">
        <f>IF(AssuranceDecembre2021="","",AssuranceDecembre2021)</f>
        <v/>
      </c>
      <c r="N96" t="str">
        <f>IF(AssuranceJanvier2022="","",AssuranceJanvier2022)</f>
        <v/>
      </c>
      <c r="O96" t="str">
        <f>IF(AssuranceFevrier2022="","",AssuranceFevrier2022)</f>
        <v/>
      </c>
      <c r="P96" t="str">
        <f>IF(AssuranceMars2022="","",AssuranceMars2022)</f>
        <v/>
      </c>
    </row>
    <row r="97" spans="11:16" ht="15.75" thickBot="1">
      <c r="K97" s="104" t="s">
        <v>241</v>
      </c>
      <c r="L97">
        <v>7</v>
      </c>
      <c r="M97" t="str">
        <f>IF(AutresChargesDecembre2021="","",AutresChargesDecembre2021)</f>
        <v/>
      </c>
      <c r="N97" t="str">
        <f>IF(AutresChargesJanvier2022="","",AutresChargesJanvier2022)</f>
        <v/>
      </c>
      <c r="O97" t="str">
        <f>IF(AutresChargesFevrier2022="","",AutresChargesFevrier2022)</f>
        <v/>
      </c>
      <c r="P97" t="str">
        <f>IF(AutresChargesMars2022="","",AutresChargesMars2022)</f>
        <v/>
      </c>
    </row>
    <row r="98" spans="11:16">
      <c r="K98" t="s">
        <v>242</v>
      </c>
      <c r="L98">
        <v>8</v>
      </c>
      <c r="M98" t="str">
        <f>IF(EquipementDecembre2021="","",EquipementDecembre2021)</f>
        <v/>
      </c>
      <c r="N98" t="str">
        <f>IF(EquipementJanvier2022="","",EquipementJanvier2022)</f>
        <v/>
      </c>
      <c r="O98" t="str">
        <f>IF(EquipementFevrier2022="","",EquipementFevrier2022)</f>
        <v/>
      </c>
      <c r="P98" t="str">
        <f>IF(EquipementMars2022="","",EquipementMars2022)</f>
        <v/>
      </c>
    </row>
    <row r="99" spans="11:16">
      <c r="K99" t="s">
        <v>243</v>
      </c>
      <c r="L99">
        <v>9</v>
      </c>
      <c r="M99" t="str">
        <f>IF(VehiculesDecembre2021="","",VehiculesDecembre2021)</f>
        <v/>
      </c>
      <c r="N99" t="str">
        <f>IF(VehiculesJanvier2022="","",VehiculesJanvier2022)</f>
        <v/>
      </c>
      <c r="O99" t="str">
        <f>IF(VehiculesFevrier2022="","",VehiculesFevrier2022)</f>
        <v/>
      </c>
      <c r="P99" t="str">
        <f>IF(VehiculesMars2022="","",VehiculesMars2022)</f>
        <v/>
      </c>
    </row>
    <row r="100" spans="11:16">
      <c r="K100" t="s">
        <v>244</v>
      </c>
      <c r="L100">
        <v>10</v>
      </c>
      <c r="M100" t="str">
        <f>IF(InformatiqueDecembre2021="","",InformatiqueDecembre2021)</f>
        <v/>
      </c>
      <c r="N100" t="str">
        <f>IF(InformatiqueJanvier2022="","",InformatiqueJanvier2022)</f>
        <v/>
      </c>
      <c r="O100" t="str">
        <f>IF(InformatiqueFevrier2022="","",InformatiqueFevrier2022)</f>
        <v/>
      </c>
      <c r="P100" t="str">
        <f>IF(InformatiqueMars2022="","",InformatiqueMars2022)</f>
        <v/>
      </c>
    </row>
    <row r="101" spans="11:16" ht="15.75" thickBot="1">
      <c r="K101" s="104" t="s">
        <v>245</v>
      </c>
      <c r="L101">
        <v>11</v>
      </c>
      <c r="M101" t="str">
        <f>IF(AutreMensualiteDecembre2021="","",AutreMensualiteDecembre2021)</f>
        <v/>
      </c>
      <c r="N101" t="str">
        <f>IF(AutreMensualitejanvier2022="","",AutreMensualitejanvier2022)</f>
        <v/>
      </c>
      <c r="O101" t="str">
        <f>IF(AutreMensualiteFevrier2022="","",AutreMensualiteFevrier2022)</f>
        <v/>
      </c>
      <c r="P101" t="str">
        <f>IF(AutreMensualiteMars2022="","",AutreMensualiteMars2022)</f>
        <v/>
      </c>
    </row>
    <row r="102" spans="11:16">
      <c r="K102" t="s">
        <v>246</v>
      </c>
      <c r="L102">
        <v>12</v>
      </c>
      <c r="M102" t="str">
        <f>IF(LoyerDecembre2021="","",LoyerDecembre2021)</f>
        <v/>
      </c>
      <c r="N102" t="str">
        <f>IF(LoyerJanvier2022="","",LoyerJanvier2022)</f>
        <v/>
      </c>
      <c r="O102" t="str">
        <f>IF(LoyerFevrier2022="","",LoyerFevrier2022)</f>
        <v/>
      </c>
      <c r="P102" t="str">
        <f>IF(LoyerMars2022="","",LoyerMars2022)</f>
        <v/>
      </c>
    </row>
    <row r="103" spans="11:16">
      <c r="K103" t="s">
        <v>247</v>
      </c>
      <c r="L103">
        <v>13</v>
      </c>
      <c r="M103" t="str">
        <f>IF(ChargesAccessoiresDecembre2021="","",ChargesAccessoiresDecembre2021)</f>
        <v/>
      </c>
      <c r="N103" t="str">
        <f>IF(ChargesAccessoiresJanvier2022="","",ChargesAccessoiresJanvier2022)</f>
        <v/>
      </c>
      <c r="O103" t="str">
        <f>IF(ChargesAccessoiresFevrier2022="","",ChargesAccessoiresFevrier2022)</f>
        <v/>
      </c>
      <c r="P103" t="str">
        <f>IF(ChargesAccessoiresMars2022="","",ChargesAccessoiresMars2022)</f>
        <v/>
      </c>
    </row>
    <row r="104" spans="11:16">
      <c r="K104" t="s">
        <v>248</v>
      </c>
      <c r="L104">
        <v>14</v>
      </c>
      <c r="M104" t="str">
        <f>IF(ElectriciteDecembre2021="","",ElectriciteDecembre2021)</f>
        <v/>
      </c>
      <c r="N104" t="str">
        <f>IF(ElectriciteJanvier2022="","",ElectriciteJanvier2022)</f>
        <v/>
      </c>
      <c r="O104" t="str">
        <f>IF(ElectriciteFevrier2022="","",ElectriciteFevrier2022)</f>
        <v/>
      </c>
      <c r="P104" t="str">
        <f>IF(ElectriciteMars2022="","",ElectriciteMars2022)</f>
        <v/>
      </c>
    </row>
    <row r="105" spans="11:16">
      <c r="K105" t="s">
        <v>83</v>
      </c>
      <c r="L105">
        <v>15</v>
      </c>
      <c r="M105" t="str">
        <f>IF(ChauffageDecembre2021="","",ChauffageDecembre2021)</f>
        <v/>
      </c>
      <c r="N105" t="str">
        <f>IF(ChauffageJanvier2022="","",ChauffageJanvier2022)</f>
        <v/>
      </c>
      <c r="O105" t="str">
        <f>IF(ChauffageFevrier2022="","",ChauffageFevrier2022)</f>
        <v/>
      </c>
      <c r="P105" t="str">
        <f>IF(ChauffageMars2022="","",ChauffageMars2022)</f>
        <v/>
      </c>
    </row>
    <row r="106" spans="11:16">
      <c r="K106" t="s">
        <v>84</v>
      </c>
      <c r="L106">
        <v>16</v>
      </c>
      <c r="M106" t="str">
        <f>IF(NettoyageDecembre2021="","",NettoyageDecembre2021)</f>
        <v/>
      </c>
      <c r="N106" t="str">
        <f>IF(NettoyageJanvier2022="","",NettoyageJanvier2022)</f>
        <v/>
      </c>
      <c r="O106" t="str">
        <f>IF(NettoyageFevrier2022="","",NettoyageFevrier2022)</f>
        <v/>
      </c>
      <c r="P106" t="str">
        <f>IF(NettoyageMars2022="","",NettoyageMars2022)</f>
        <v/>
      </c>
    </row>
    <row r="107" spans="11:16">
      <c r="K107" t="s">
        <v>249</v>
      </c>
      <c r="L107">
        <v>17</v>
      </c>
      <c r="M107" t="str">
        <f>IF(SecuriteDecembre2021="","",SecuriteDecembre2021)</f>
        <v/>
      </c>
      <c r="N107" t="str">
        <f>IF(SecuriteJanvier2022="","",SecuriteJanvier2022)</f>
        <v/>
      </c>
      <c r="O107" t="str">
        <f>IF(SecuriteFevrier2022="","",SecuriteFevrier2022)</f>
        <v/>
      </c>
      <c r="P107" t="str">
        <f>IF(SecuriteMars2022="","",SecuriteMars2022)</f>
        <v/>
      </c>
    </row>
    <row r="108" spans="11:16" ht="15.75" thickBot="1">
      <c r="K108" s="104" t="s">
        <v>250</v>
      </c>
      <c r="L108">
        <v>18</v>
      </c>
      <c r="M108" t="str">
        <f>IF(AutreLocauxDecembre2021="","",AutreLocauxDecembre2021)</f>
        <v/>
      </c>
      <c r="N108" t="str">
        <f>IF(AutreLocauxJanvier2022="","",AutreLocauxJanvier2022)</f>
        <v/>
      </c>
      <c r="O108" t="str">
        <f>IF(AutreLocauxFevrier2022="","",AutreLocauxFevrier2022)</f>
        <v/>
      </c>
      <c r="P108" t="str">
        <f>IF(AutreLocauxMars2022="","",AutreLocauxMars2022)</f>
        <v/>
      </c>
    </row>
    <row r="109" spans="11:16">
      <c r="K109" t="s">
        <v>251</v>
      </c>
      <c r="L109">
        <v>19</v>
      </c>
      <c r="M109" t="str">
        <f>IF(TaxesDecembre2021="","",TaxesDecembre2021)</f>
        <v/>
      </c>
      <c r="N109" t="str">
        <f>IF(TaxesJanvier2022="","",TaxesJanvier2022)</f>
        <v/>
      </c>
      <c r="O109" t="str">
        <f>IF(TaxesFevrier2022="","",TaxesFevrier2022)</f>
        <v/>
      </c>
      <c r="P109" t="str">
        <f>IF(TaxesMars2022="","",TaxesMars2022)</f>
        <v/>
      </c>
    </row>
    <row r="110" spans="11:16">
      <c r="K110" t="s">
        <v>252</v>
      </c>
      <c r="L110">
        <v>20</v>
      </c>
      <c r="M110" t="str">
        <f>IF(PatenteDecembre2021="","",PatenteDecembre2021)</f>
        <v/>
      </c>
      <c r="N110" t="str">
        <f>IF(PatenteJanvier2022="","",PatenteJanvier2022)</f>
        <v/>
      </c>
      <c r="O110" t="str">
        <f>IF(PatenteFevrier2022="","",PatenteFevrier2022)</f>
        <v/>
      </c>
      <c r="P110" t="str">
        <f>IF(PatenteMars2022="","",PatenteMars2022)</f>
        <v/>
      </c>
    </row>
    <row r="111" spans="11:16" ht="15.75" thickBot="1">
      <c r="K111" s="104" t="s">
        <v>253</v>
      </c>
      <c r="L111">
        <v>21</v>
      </c>
      <c r="M111" t="str">
        <f>IF(AutreTaxesDecembre2021="","",AutreTaxesDecembre2021)</f>
        <v/>
      </c>
      <c r="N111" t="str">
        <f>IF(AutreTaxesJanvier2022="","",AutreTaxesJanvier2022)</f>
        <v/>
      </c>
      <c r="O111" t="str">
        <f>IF(AutreTaxesFevrier2022="","",AutreTaxesFevrier2022)</f>
        <v/>
      </c>
      <c r="P111" t="str">
        <f>IF(AutreTaxesMars2022="","",AutreTaxesMars2022)</f>
        <v/>
      </c>
    </row>
    <row r="112" spans="11:16">
      <c r="K112" t="s">
        <v>254</v>
      </c>
      <c r="L112">
        <v>22</v>
      </c>
      <c r="M112" t="str">
        <f>IF(ContratDecembre2021="","",ContratDecembre2021)</f>
        <v/>
      </c>
      <c r="N112" t="str">
        <f>IF(ContratJanvier2022="","",ContratJanvier2022)</f>
        <v/>
      </c>
      <c r="O112" t="str">
        <f>IF(ContratFevrier2022="","",ContratFevrier2022)</f>
        <v/>
      </c>
      <c r="P112" t="str">
        <f>IF(ContratMars2022="","",ContratMars2022)</f>
        <v/>
      </c>
    </row>
    <row r="113" spans="11:16" ht="15.75" thickBot="1">
      <c r="K113" s="104" t="s">
        <v>255</v>
      </c>
      <c r="L113">
        <v>23</v>
      </c>
      <c r="M113" t="str">
        <f>IF(AutreEntretienDecembre2021="","",AutreEntretienDecembre2021)</f>
        <v/>
      </c>
      <c r="N113" t="str">
        <f>IF(AutreEntretienJanvier2022="","",AutreEntretienJanvier2022)</f>
        <v/>
      </c>
      <c r="O113" t="str">
        <f>IF(AutreEntretienFevrier2022="","",AutreEntretienFevrier2022)</f>
        <v/>
      </c>
      <c r="P113" t="str">
        <f>IF(AutreEntretienMars2022="","",AutreEntretienMars2022)</f>
        <v/>
      </c>
    </row>
    <row r="114" spans="11:16">
      <c r="K114" t="s">
        <v>256</v>
      </c>
      <c r="L114">
        <v>24</v>
      </c>
      <c r="M114" t="str">
        <f>IF(AssuranceVehiculeDecembre2021="","",AssuranceVehiculeDecembre2021)</f>
        <v/>
      </c>
      <c r="N114" t="str">
        <f>IF(AssuranceVehiculeJanvier2022="","",AssuranceVehiculeJanvier2022)</f>
        <v/>
      </c>
      <c r="O114" t="str">
        <f>IF(AssuranceVehiculeFevrier2022="","",AssuranceVehiculeFevrier2022)</f>
        <v/>
      </c>
      <c r="P114" t="str">
        <f>IF(AssuranceVehiculeMars2022="","",AssuranceVehiculeMars2022)</f>
        <v/>
      </c>
    </row>
    <row r="115" spans="11:16">
      <c r="K115" t="s">
        <v>257</v>
      </c>
      <c r="L115">
        <v>25</v>
      </c>
      <c r="M115" t="str">
        <f>IF(TaxesVehiculeDecembre2021="","",TaxesVehiculeDecembre2021)</f>
        <v/>
      </c>
      <c r="N115" t="str">
        <f>IF(TaxesVehiculeJanvier2022="","",TaxesVehiculeJanvier2022)</f>
        <v/>
      </c>
      <c r="O115" t="str">
        <f>IF(TaxesVehiculeFevrier2022="","",TaxesVehiculeFevrier2022)</f>
        <v/>
      </c>
      <c r="P115" t="str">
        <f>IF(TaxesVehiculeMars2022="","",TaxesVehiculeMars2022)</f>
        <v/>
      </c>
    </row>
    <row r="116" spans="11:16" ht="15.75" thickBot="1">
      <c r="K116" s="104" t="s">
        <v>258</v>
      </c>
      <c r="L116">
        <v>26</v>
      </c>
      <c r="M116" t="str">
        <f>IF(AutreVehiculeDecembre2021="","",AutreVehiculeDecembre2021)</f>
        <v/>
      </c>
      <c r="N116" t="str">
        <f>IF(AutreVehiculeJanvier2022="","",AutreVehiculeJanvier2022)</f>
        <v/>
      </c>
      <c r="O116" t="str">
        <f>IF(AutreVehiculeFevrier2022="","",AutreVehiculeFevrier2022)</f>
        <v/>
      </c>
      <c r="P116" t="str">
        <f>IF(AutreVehiculeMars2022="","",AutreVehiculeMars2022)</f>
        <v/>
      </c>
    </row>
    <row r="117" spans="11:16">
      <c r="K117" t="s">
        <v>259</v>
      </c>
      <c r="L117">
        <v>27</v>
      </c>
      <c r="M117" t="str">
        <f>IF(IncendieDecembre2021="","",IncendieDecembre2021)</f>
        <v/>
      </c>
      <c r="N117" t="str">
        <f>IF(IncendieJanvier2022="","",IncendieJanvier2022)</f>
        <v/>
      </c>
      <c r="O117" t="str">
        <f>IF(IncendieFevrier2022="","",IncendieFevrier2022)</f>
        <v/>
      </c>
      <c r="P117" t="str">
        <f>IF(IncendieMars2022="","",IncendieMars2022)</f>
        <v/>
      </c>
    </row>
    <row r="118" spans="11:16">
      <c r="K118" t="s">
        <v>95</v>
      </c>
      <c r="L118">
        <v>28</v>
      </c>
      <c r="M118" t="str">
        <f>IF(ChosesDecembre2021="","",ChosesDecembre2021)</f>
        <v/>
      </c>
      <c r="N118" t="str">
        <f>IF(ChosesJanvier2022="","",ChosesJanvier2022)</f>
        <v/>
      </c>
      <c r="O118" t="str">
        <f>IF(ChosesFevrier2022="","",ChosesFevrier2022)</f>
        <v/>
      </c>
      <c r="P118" t="str">
        <f>IF(ChosesMars2022="","",ChosesMars2022)</f>
        <v/>
      </c>
    </row>
    <row r="119" spans="11:16">
      <c r="K119" t="s">
        <v>260</v>
      </c>
      <c r="L119">
        <v>29</v>
      </c>
      <c r="M119" t="str">
        <f>IF(ResponsabiliteDecembre2021="","",ResponsabiliteDecembre2021)</f>
        <v/>
      </c>
      <c r="N119" t="str">
        <f>IF(ResponsabiliteJanvier2022="","",ResponsabiliteJanvier2022)</f>
        <v/>
      </c>
      <c r="O119" t="str">
        <f>IF(ResponsabiliteFevrier2022="","",ResponsabiliteFevrier2022)</f>
        <v/>
      </c>
      <c r="P119" t="str">
        <f>IF(ResponsabiliteMars2022="","",ResponsabiliteMars2022)</f>
        <v/>
      </c>
    </row>
    <row r="120" spans="11:16">
      <c r="K120" t="s">
        <v>261</v>
      </c>
      <c r="L120">
        <v>30</v>
      </c>
      <c r="M120" t="str">
        <f>IF(ExploitationDecembre2021="","",ExploitationDecembre2021)</f>
        <v/>
      </c>
      <c r="N120" t="str">
        <f>IF(ExploitationJanvier2022="","",ExploitationJanvier2022)</f>
        <v/>
      </c>
      <c r="O120" t="str">
        <f>IF(ExploitationFevrier2022="","",ExploitationFevrier2022)</f>
        <v/>
      </c>
      <c r="P120" t="str">
        <f>IF(ExploitationMars2022="","",ExploitationMars2022)</f>
        <v/>
      </c>
    </row>
    <row r="121" spans="11:16">
      <c r="K121" t="s">
        <v>262</v>
      </c>
      <c r="L121">
        <v>31</v>
      </c>
      <c r="M121" t="str">
        <f>IF(ProtectionDecembre2021="","",ProtectionDecembre2021)</f>
        <v/>
      </c>
      <c r="N121" t="str">
        <f>IF(ProtectionJanvier2022="","",ProtectionJanvier2022)</f>
        <v/>
      </c>
      <c r="O121" t="str">
        <f>IF(ProtectionFevrier2022="","",ProtectionFevrier2022)</f>
        <v/>
      </c>
      <c r="P121" t="str">
        <f>IF(ProtectionMars2022="","",ProtectionMars2022)</f>
        <v/>
      </c>
    </row>
    <row r="122" spans="11:16" ht="15.75" thickBot="1">
      <c r="K122" s="104" t="s">
        <v>263</v>
      </c>
      <c r="L122">
        <v>32</v>
      </c>
      <c r="M122" t="str">
        <f>IF(AutreAssuranceDecembre2021="","",AutreAssuranceDecembre2021)</f>
        <v/>
      </c>
      <c r="N122" t="str">
        <f>IF(AutreAssuranceJanvier2022="","",AutreAssuranceJanvier2022)</f>
        <v/>
      </c>
      <c r="O122" t="str">
        <f>IF(AutreAssuranceFevrier2022="","",AutreAssuranceFevrier2022)</f>
        <v/>
      </c>
      <c r="P122" t="str">
        <f>IF(AutreAssuranceMars2022="","",AutreAssuranceMars2022)</f>
        <v/>
      </c>
    </row>
    <row r="123" spans="11:16">
      <c r="K123" t="s">
        <v>264</v>
      </c>
      <c r="L123">
        <v>33</v>
      </c>
      <c r="M123" t="str">
        <f>IF(TelephoneDecembre2021="","",TelephoneDecembre2021)</f>
        <v/>
      </c>
      <c r="N123" t="str">
        <f>IF(TelephoneJanvier2022="","",TelephoneJanvier2022)</f>
        <v/>
      </c>
      <c r="O123" t="str">
        <f>IF(TelephoneFevrier2022="","",TelephoneFevrier2022)</f>
        <v/>
      </c>
      <c r="P123" t="str">
        <f>IF(TelephoneMars2022="","",TelephoneMars2022)</f>
        <v/>
      </c>
    </row>
    <row r="124" spans="11:16">
      <c r="K124" t="s">
        <v>100</v>
      </c>
      <c r="L124">
        <v>34</v>
      </c>
      <c r="M124" t="str">
        <f>IF(InternetDecembre2021="","",InternetDecembre2021)</f>
        <v/>
      </c>
      <c r="N124" t="str">
        <f>IF(InternetJanvier2022="","",InternetJanvier2022)</f>
        <v/>
      </c>
      <c r="O124" t="str">
        <f>IF(InternetFevrier2022="","",InternetFevrier2022)</f>
        <v/>
      </c>
      <c r="P124" t="str">
        <f>IF(InternetMars2022="","",InternetMars2022)</f>
        <v/>
      </c>
    </row>
    <row r="125" spans="11:16">
      <c r="K125" t="s">
        <v>265</v>
      </c>
      <c r="L125">
        <v>35</v>
      </c>
      <c r="M125" t="str">
        <f>IF(CotisationDecembre2021="","",CotisationDecembre2021)</f>
        <v/>
      </c>
      <c r="N125" t="str">
        <f>IF(CotisationJanvier2022="","",CotisationJanvier2022)</f>
        <v/>
      </c>
      <c r="O125" t="str">
        <f>IF(CotisationFevrier2022="","",CotisationFevrier2022)</f>
        <v/>
      </c>
      <c r="P125" t="str">
        <f>IF(CotisationMars2022="","",CotisationMars2022)</f>
        <v/>
      </c>
    </row>
    <row r="126" spans="11:16">
      <c r="K126" t="s">
        <v>266</v>
      </c>
      <c r="L126">
        <v>36</v>
      </c>
      <c r="M126" t="str">
        <f>IF(HonoraireDecembre2021="","",HonoraireDecembre2021)</f>
        <v/>
      </c>
      <c r="N126" t="str">
        <f>IF(HonoraireJanvier2022="","",HonoraireJanvier2022)</f>
        <v/>
      </c>
      <c r="O126" t="str">
        <f>IF(HonoraireFevrier2022="","",HonoraireFevrier2022)</f>
        <v/>
      </c>
      <c r="P126" t="str">
        <f>IF(HonoraireMars2022="","",HonoraireMars2022)</f>
        <v/>
      </c>
    </row>
    <row r="127" spans="11:16">
      <c r="K127" t="s">
        <v>267</v>
      </c>
      <c r="L127">
        <v>37</v>
      </c>
      <c r="M127" t="str">
        <f>IF(FraisInfoDecembre2021="","",FraisInfoDecembre2021)</f>
        <v/>
      </c>
      <c r="N127" t="str">
        <f>IF(FraisInfoJanvier2022="","",FraisInfoJanvier2022)</f>
        <v/>
      </c>
      <c r="O127" t="str">
        <f>IF(FraisInfoFevrier2022="","",FraisInfoFevrier2022)</f>
        <v/>
      </c>
      <c r="P127" t="str">
        <f>IF(FraisInfoMars2022="","",FraisInfoMars2022)</f>
        <v/>
      </c>
    </row>
    <row r="128" spans="11:16">
      <c r="K128" t="s">
        <v>268</v>
      </c>
      <c r="L128">
        <v>38</v>
      </c>
      <c r="M128" t="str">
        <f>IF(CopieurDecembre2021="","",CopieurDecembre2021)</f>
        <v/>
      </c>
      <c r="N128" t="str">
        <f>IF(CopieurJanvier2022="","",CopieurJanvier2022)</f>
        <v/>
      </c>
      <c r="O128" t="str">
        <f>IF(CopieurFevrier2022="","",CopieurFevrier2022)</f>
        <v/>
      </c>
      <c r="P128" t="str">
        <f>IF(CopieurMars2022="","",CopieurMars2022)</f>
        <v/>
      </c>
    </row>
    <row r="129" spans="11:16" ht="15.75" thickBot="1">
      <c r="K129" s="104" t="s">
        <v>269</v>
      </c>
      <c r="L129">
        <v>39</v>
      </c>
      <c r="M129" t="str">
        <f>IF(AutreFraisDecembre2021="","",AutreFraisDecembre2021)</f>
        <v/>
      </c>
      <c r="N129" t="str">
        <f>IF(AutreFraisJanvier2022="","",AutreFraisJanvier2022)</f>
        <v/>
      </c>
      <c r="O129" t="str">
        <f>IF(AutreFraisFevrier2022="","",AutreFraisFevrier2022)</f>
        <v/>
      </c>
      <c r="P129" t="str">
        <f>IF(AutreFraisMars2022="","",AutreFraisMars2022)</f>
        <v/>
      </c>
    </row>
    <row r="130" spans="11:16">
      <c r="K130" t="s">
        <v>270</v>
      </c>
      <c r="L130">
        <v>40</v>
      </c>
      <c r="M130" t="str">
        <f>IF(FraisContratDecembre2021="","",FraisContratDecembre2021)</f>
        <v/>
      </c>
      <c r="N130" t="str">
        <f>IF(FraisContratJanvier2022="","",FraisContratJanvier2022)</f>
        <v/>
      </c>
      <c r="O130" t="str">
        <f>IF(FraisContratFevrier2022="","",FraisContratFevrier2022)</f>
        <v/>
      </c>
      <c r="P130" t="str">
        <f>IF(FraisContratMars2022="","",FraisContratMars2022)</f>
        <v/>
      </c>
    </row>
    <row r="131" spans="11:16" ht="15.75" thickBot="1">
      <c r="K131" s="104" t="s">
        <v>271</v>
      </c>
      <c r="L131">
        <v>41</v>
      </c>
      <c r="M131" t="str">
        <f>IF(AutrePubDecembre2021="","",AutrePubDecembre2021)</f>
        <v/>
      </c>
      <c r="N131" t="str">
        <f>IF(AutrePubJanvier2022="","",AutrePubJanvier2022)</f>
        <v/>
      </c>
      <c r="O131" t="str">
        <f>IF(AutrePubFevrier2022="","",AutrePubFevrier2022)</f>
        <v/>
      </c>
      <c r="P131" t="str">
        <f>IF(AutrePubMars2022="","",AutrePubMars2022)</f>
        <v/>
      </c>
    </row>
    <row r="132" spans="11:16">
      <c r="K132" t="s">
        <v>272</v>
      </c>
      <c r="L132">
        <v>42</v>
      </c>
      <c r="M132" t="str">
        <f>IF(InteretFraisDecembre2021="","",InteretFraisDecembre2021)</f>
        <v/>
      </c>
      <c r="N132" t="str">
        <f>IF(InteretFraisJanvier2022="","",InteretFraisJanvier2022)</f>
        <v/>
      </c>
      <c r="O132" t="str">
        <f>IF(InteretFraisFevrier2022="","",InteretFraisFevrier2022)</f>
        <v/>
      </c>
      <c r="P132" t="str">
        <f>IF(InteretFraisMars2022="","",InteretFraisMars2022)</f>
        <v/>
      </c>
    </row>
    <row r="133" spans="11:16">
      <c r="K133" t="s">
        <v>273</v>
      </c>
      <c r="L133">
        <v>43</v>
      </c>
      <c r="M133" t="e">
        <f>IF(AmortissementDecembre2021="","",AmortissementDecembre2021)</f>
        <v>#REF!</v>
      </c>
      <c r="N133" t="e">
        <f>IF(AmortissementJanvier2022="","",AmortissementJanvier2022)</f>
        <v>#REF!</v>
      </c>
      <c r="O133" t="e">
        <f>IF(AmortissementFevrier2022="","",AmortissementFevrier2022)</f>
        <v>#REF!</v>
      </c>
      <c r="P133" t="e">
        <f>IF(AmortissementMars2022="","",AmortissementMars2022)</f>
        <v>#REF!</v>
      </c>
    </row>
    <row r="134" spans="11:16" ht="15.75" thickBot="1">
      <c r="K134" s="104" t="s">
        <v>274</v>
      </c>
      <c r="L134">
        <v>44</v>
      </c>
      <c r="M134" t="str">
        <f>IF(AutreFinanceDecembre2021="","",AutreFinanceDecembre2021)</f>
        <v/>
      </c>
      <c r="N134" t="str">
        <f>IF(AutreFinanceJanvier2022="","",AutreFinanceJanvier2022)</f>
        <v/>
      </c>
      <c r="O134" t="str">
        <f>IF(AutreFinanceFevrier2022="","",AutreFinanceFevrier2022)</f>
        <v/>
      </c>
      <c r="P134" t="str">
        <f>IF(AutreFinanceMars2022="","",AutreFinanceMars2022)</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C21" sqref="C21"/>
    </sheetView>
  </sheetViews>
  <sheetFormatPr baseColWidth="10" defaultRowHeight="15"/>
  <cols>
    <col min="1" max="1" width="19.42578125" customWidth="1"/>
    <col min="3" max="3" width="24.42578125" customWidth="1"/>
    <col min="5" max="5" width="30.28515625" customWidth="1"/>
    <col min="7" max="7" width="32.5703125" customWidth="1"/>
  </cols>
  <sheetData>
    <row r="1" spans="1:11">
      <c r="A1" t="s">
        <v>15</v>
      </c>
      <c r="C1" t="s">
        <v>2</v>
      </c>
      <c r="E1" t="s">
        <v>48</v>
      </c>
      <c r="G1" t="s">
        <v>111</v>
      </c>
      <c r="I1" t="s">
        <v>113</v>
      </c>
      <c r="K1" t="s">
        <v>165</v>
      </c>
    </row>
    <row r="2" spans="1:11">
      <c r="A2" s="2" t="s">
        <v>16</v>
      </c>
      <c r="C2" s="2" t="s">
        <v>24</v>
      </c>
      <c r="E2" s="25" t="s">
        <v>55</v>
      </c>
      <c r="G2" t="s">
        <v>103</v>
      </c>
      <c r="K2" t="s">
        <v>166</v>
      </c>
    </row>
    <row r="3" spans="1:11">
      <c r="A3" t="s">
        <v>17</v>
      </c>
      <c r="C3" t="s">
        <v>22</v>
      </c>
      <c r="E3" s="25" t="s">
        <v>49</v>
      </c>
      <c r="G3" t="s">
        <v>102</v>
      </c>
      <c r="I3" t="s">
        <v>114</v>
      </c>
      <c r="K3" t="s">
        <v>167</v>
      </c>
    </row>
    <row r="4" spans="1:11">
      <c r="A4" t="s">
        <v>18</v>
      </c>
      <c r="C4" t="s">
        <v>23</v>
      </c>
      <c r="E4" s="25" t="s">
        <v>61</v>
      </c>
    </row>
    <row r="5" spans="1:11">
      <c r="A5" t="s">
        <v>19</v>
      </c>
      <c r="C5" t="s">
        <v>40</v>
      </c>
      <c r="E5" s="25" t="s">
        <v>58</v>
      </c>
    </row>
    <row r="6" spans="1:11">
      <c r="A6" t="s">
        <v>20</v>
      </c>
      <c r="E6" s="25" t="s">
        <v>51</v>
      </c>
    </row>
    <row r="7" spans="1:11">
      <c r="A7" t="s">
        <v>21</v>
      </c>
      <c r="E7" s="25" t="s">
        <v>60</v>
      </c>
    </row>
    <row r="8" spans="1:11">
      <c r="E8" s="25" t="s">
        <v>56</v>
      </c>
    </row>
    <row r="9" spans="1:11">
      <c r="E9" s="25" t="s">
        <v>54</v>
      </c>
    </row>
    <row r="10" spans="1:11">
      <c r="E10" s="25" t="s">
        <v>168</v>
      </c>
    </row>
    <row r="11" spans="1:11">
      <c r="E11" s="25" t="s">
        <v>53</v>
      </c>
    </row>
    <row r="12" spans="1:11">
      <c r="E12" s="25" t="s">
        <v>50</v>
      </c>
    </row>
    <row r="13" spans="1:11">
      <c r="E13" s="25" t="s">
        <v>59</v>
      </c>
    </row>
    <row r="14" spans="1:11">
      <c r="E14" s="25" t="s">
        <v>52</v>
      </c>
    </row>
    <row r="15" spans="1:11">
      <c r="E15" s="25" t="s">
        <v>57</v>
      </c>
    </row>
    <row r="16" spans="1:11">
      <c r="E16" t="s">
        <v>169</v>
      </c>
    </row>
    <row r="18" spans="5:5">
      <c r="E18" s="25"/>
    </row>
    <row r="19" spans="5:5">
      <c r="E19" s="25"/>
    </row>
    <row r="20" spans="5:5">
      <c r="E20" s="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226</vt:i4>
      </vt:variant>
    </vt:vector>
  </HeadingPairs>
  <TitlesOfParts>
    <vt:vector size="229" baseType="lpstr">
      <vt:lpstr>Formulaire</vt:lpstr>
      <vt:lpstr>Output</vt:lpstr>
      <vt:lpstr>Liste</vt:lpstr>
      <vt:lpstr>Activite</vt:lpstr>
      <vt:lpstr>AssuranceDecembre2021</vt:lpstr>
      <vt:lpstr>AssuranceFevrier2022</vt:lpstr>
      <vt:lpstr>AssuranceJanvier2022</vt:lpstr>
      <vt:lpstr>AssuranceMars2022</vt:lpstr>
      <vt:lpstr>AssuranceVehiculeDecembre2021</vt:lpstr>
      <vt:lpstr>AssuranceVehiculeFevrier2022</vt:lpstr>
      <vt:lpstr>AssuranceVehiculeJanvier2022</vt:lpstr>
      <vt:lpstr>AssuranceVehiculeMars2022</vt:lpstr>
      <vt:lpstr>AutreAssuranceDecembre2021</vt:lpstr>
      <vt:lpstr>AutreAssuranceFevrier2022</vt:lpstr>
      <vt:lpstr>AutreAssuranceJanvier2022</vt:lpstr>
      <vt:lpstr>AutreAssuranceMars2022</vt:lpstr>
      <vt:lpstr>AutreEntretienDecembre2021</vt:lpstr>
      <vt:lpstr>AutreEntretienFevrier2022</vt:lpstr>
      <vt:lpstr>AutreEntretienJanvier2022</vt:lpstr>
      <vt:lpstr>AutreEntretienMars2022</vt:lpstr>
      <vt:lpstr>AutreFinanceDecembre2021</vt:lpstr>
      <vt:lpstr>AutreFinanceFevrier2022</vt:lpstr>
      <vt:lpstr>AutreFinanceJanvier2022</vt:lpstr>
      <vt:lpstr>AutreFinanceMars2022</vt:lpstr>
      <vt:lpstr>AutreFraisAchatDecembre2021</vt:lpstr>
      <vt:lpstr>AutreFraisAchatFevrier2022</vt:lpstr>
      <vt:lpstr>AutreFraisAchatJanvier2022</vt:lpstr>
      <vt:lpstr>AutreFraisAchatMars2022</vt:lpstr>
      <vt:lpstr>AutreFraisDecembre2021</vt:lpstr>
      <vt:lpstr>AutreFraisFevrier2022</vt:lpstr>
      <vt:lpstr>AutreFraisJanvier2022</vt:lpstr>
      <vt:lpstr>AutreFraisMars2022</vt:lpstr>
      <vt:lpstr>AutreLocauxDecembre2021</vt:lpstr>
      <vt:lpstr>AutreLocauxFevrier2022</vt:lpstr>
      <vt:lpstr>AutreLocauxJanvier2022</vt:lpstr>
      <vt:lpstr>AutreLocauxMars2022</vt:lpstr>
      <vt:lpstr>AutreMensualiteDecembre2021</vt:lpstr>
      <vt:lpstr>AutreMensualiteFevrier2022</vt:lpstr>
      <vt:lpstr>AutreMensualitejanvier2022</vt:lpstr>
      <vt:lpstr>AutreMensualiteMars2022</vt:lpstr>
      <vt:lpstr>AutrePubDecembre2021</vt:lpstr>
      <vt:lpstr>AutrePubFevrier2022</vt:lpstr>
      <vt:lpstr>AutrePubJanvier2022</vt:lpstr>
      <vt:lpstr>AutrePubMars2022</vt:lpstr>
      <vt:lpstr>AutresChargesDecembre2021</vt:lpstr>
      <vt:lpstr>AutresChargesFevrier2022</vt:lpstr>
      <vt:lpstr>AutresChargesJanvier2022</vt:lpstr>
      <vt:lpstr>AutresChargesMars2022</vt:lpstr>
      <vt:lpstr>AutreTaxesDecembre2021</vt:lpstr>
      <vt:lpstr>AutreTaxesFevrier2022</vt:lpstr>
      <vt:lpstr>AutreTaxesJanvier2022</vt:lpstr>
      <vt:lpstr>AutreTaxesMars2022</vt:lpstr>
      <vt:lpstr>AutreVehiculeDecembre2021</vt:lpstr>
      <vt:lpstr>AutreVehiculeFevrier2022</vt:lpstr>
      <vt:lpstr>AutreVehiculeJanvier2022</vt:lpstr>
      <vt:lpstr>AutreVehiculeMars2022</vt:lpstr>
      <vt:lpstr>Banque</vt:lpstr>
      <vt:lpstr>CAComRevenuDecembre2021</vt:lpstr>
      <vt:lpstr>CAComRevenuFevrier2022</vt:lpstr>
      <vt:lpstr>CAComRevenuJanvier2022</vt:lpstr>
      <vt:lpstr>CAComRevenuMars2022</vt:lpstr>
      <vt:lpstr>Cas1DejaAidee</vt:lpstr>
      <vt:lpstr>Cas2DejaAidee</vt:lpstr>
      <vt:lpstr>Cas3_1DejaAidee</vt:lpstr>
      <vt:lpstr>Cas3_2DejaAidee</vt:lpstr>
      <vt:lpstr>CCP</vt:lpstr>
      <vt:lpstr>ChargesAccessoiresDecembre2021</vt:lpstr>
      <vt:lpstr>ChargesAccessoiresFevrier2022</vt:lpstr>
      <vt:lpstr>ChargesAccessoiresJanvier2022</vt:lpstr>
      <vt:lpstr>ChargesAccessoiresMars2022</vt:lpstr>
      <vt:lpstr>ChargesAnnuelles</vt:lpstr>
      <vt:lpstr>ChargesSocialeDecembre2021</vt:lpstr>
      <vt:lpstr>ChargesSocialeFevrier2022</vt:lpstr>
      <vt:lpstr>ChargesSocialeJanvier22</vt:lpstr>
      <vt:lpstr>ChargesSocialeMars2022</vt:lpstr>
      <vt:lpstr>ChauffageDecembre2021</vt:lpstr>
      <vt:lpstr>ChauffageFevrier2022</vt:lpstr>
      <vt:lpstr>ChauffageJanvier2022</vt:lpstr>
      <vt:lpstr>ChauffageMars2022</vt:lpstr>
      <vt:lpstr>ChosesDecembre2021</vt:lpstr>
      <vt:lpstr>ChosesFevrier2022</vt:lpstr>
      <vt:lpstr>ChosesJanvier2022</vt:lpstr>
      <vt:lpstr>ChosesMars2022</vt:lpstr>
      <vt:lpstr>CodePostalContact</vt:lpstr>
      <vt:lpstr>CodePostaleEntreprise</vt:lpstr>
      <vt:lpstr>CodePostaleSiege</vt:lpstr>
      <vt:lpstr>ContratDecembre2021</vt:lpstr>
      <vt:lpstr>ContratFevrier2022</vt:lpstr>
      <vt:lpstr>ContratJanvier2022</vt:lpstr>
      <vt:lpstr>ContratMars2022</vt:lpstr>
      <vt:lpstr>CopieurDecembre2021</vt:lpstr>
      <vt:lpstr>CopieurFevrier2022</vt:lpstr>
      <vt:lpstr>CopieurJanvier2022</vt:lpstr>
      <vt:lpstr>CopieurMars2022</vt:lpstr>
      <vt:lpstr>CotisationDecembre2021</vt:lpstr>
      <vt:lpstr>CotisationFevrier2022</vt:lpstr>
      <vt:lpstr>CotisationJanvier2022</vt:lpstr>
      <vt:lpstr>CotisationMars2022</vt:lpstr>
      <vt:lpstr>DateDemande</vt:lpstr>
      <vt:lpstr>DroitAide2021</vt:lpstr>
      <vt:lpstr>ElectriciteDecembre2021</vt:lpstr>
      <vt:lpstr>ElectriciteFevrier2022</vt:lpstr>
      <vt:lpstr>ElectriciteJanvier2022</vt:lpstr>
      <vt:lpstr>ElectriciteMars2022</vt:lpstr>
      <vt:lpstr>EquipementDecembre2021</vt:lpstr>
      <vt:lpstr>EquipementFevrier2022</vt:lpstr>
      <vt:lpstr>EquipementJanvier2022</vt:lpstr>
      <vt:lpstr>EquipementMars2022</vt:lpstr>
      <vt:lpstr>ExploitationDecembre2021</vt:lpstr>
      <vt:lpstr>ExploitationFevrier2022</vt:lpstr>
      <vt:lpstr>ExploitationJanvier2022</vt:lpstr>
      <vt:lpstr>ExploitationMars2022</vt:lpstr>
      <vt:lpstr>FonctionContact</vt:lpstr>
      <vt:lpstr>FraisContratDecembre2021</vt:lpstr>
      <vt:lpstr>FraisContratFevrier2022</vt:lpstr>
      <vt:lpstr>FraisContratJanvier2022</vt:lpstr>
      <vt:lpstr>FraisContratMars2022</vt:lpstr>
      <vt:lpstr>FraisInfoDecembre2021</vt:lpstr>
      <vt:lpstr>FraisInfoFevrier2022</vt:lpstr>
      <vt:lpstr>FraisInfoJanvier2022</vt:lpstr>
      <vt:lpstr>FraisInfoMars2022</vt:lpstr>
      <vt:lpstr>GCP</vt:lpstr>
      <vt:lpstr>HonoraireDecembre2021</vt:lpstr>
      <vt:lpstr>HonoraireFevrier2022</vt:lpstr>
      <vt:lpstr>HonoraireJanvier2022</vt:lpstr>
      <vt:lpstr>HonoraireMars2022</vt:lpstr>
      <vt:lpstr>Iban</vt:lpstr>
      <vt:lpstr>IDE</vt:lpstr>
      <vt:lpstr>IncendieDecembre2021</vt:lpstr>
      <vt:lpstr>IncendieFevrier2022</vt:lpstr>
      <vt:lpstr>IncendieJanvier2022</vt:lpstr>
      <vt:lpstr>IncendieMars2022</vt:lpstr>
      <vt:lpstr>InformatiqueDecembre2021</vt:lpstr>
      <vt:lpstr>InformatiqueFevrier2022</vt:lpstr>
      <vt:lpstr>InformatiqueJanvier2022</vt:lpstr>
      <vt:lpstr>InformatiqueMars2022</vt:lpstr>
      <vt:lpstr>InteretFraisDecembre2021</vt:lpstr>
      <vt:lpstr>InteretFraisFevrier2022</vt:lpstr>
      <vt:lpstr>InteretFraisJanvier2022</vt:lpstr>
      <vt:lpstr>InteretFraisMars2022</vt:lpstr>
      <vt:lpstr>InternetDecembre2021</vt:lpstr>
      <vt:lpstr>InternetFevrier2022</vt:lpstr>
      <vt:lpstr>InternetJanvier2022</vt:lpstr>
      <vt:lpstr>InternetMars2022</vt:lpstr>
      <vt:lpstr>Liste_Activite</vt:lpstr>
      <vt:lpstr>Liste_FormeJuridique</vt:lpstr>
      <vt:lpstr>Liste_Option</vt:lpstr>
      <vt:lpstr>Liste_Region</vt:lpstr>
      <vt:lpstr>Liste_Type</vt:lpstr>
      <vt:lpstr>Liste_X</vt:lpstr>
      <vt:lpstr>LocaliteContact</vt:lpstr>
      <vt:lpstr>LocaliteEntreprise</vt:lpstr>
      <vt:lpstr>LocaliteSiege</vt:lpstr>
      <vt:lpstr>LoyerDecembre2021</vt:lpstr>
      <vt:lpstr>LoyerFevrier2022</vt:lpstr>
      <vt:lpstr>LoyerJanvier2022</vt:lpstr>
      <vt:lpstr>LoyerMars2022</vt:lpstr>
      <vt:lpstr>MailContact</vt:lpstr>
      <vt:lpstr>MaterielDecembre2021</vt:lpstr>
      <vt:lpstr>MaterielFevrier2022</vt:lpstr>
      <vt:lpstr>MaterielJanvier2022</vt:lpstr>
      <vt:lpstr>MaterielMars2022</vt:lpstr>
      <vt:lpstr>MontantRevenuAPGDecembre2021</vt:lpstr>
      <vt:lpstr>MontantRevenuAPGFevrier2022</vt:lpstr>
      <vt:lpstr>MontantRevenuAPGJanvier2022</vt:lpstr>
      <vt:lpstr>MontantRevenuAPGMars2022</vt:lpstr>
      <vt:lpstr>MontantRevenuRHTDecembre2021</vt:lpstr>
      <vt:lpstr>MontantRevenuRHTFevrier2022</vt:lpstr>
      <vt:lpstr>MontantRevenuRHTJanvier2022</vt:lpstr>
      <vt:lpstr>MontantRevenuRHTMars2022</vt:lpstr>
      <vt:lpstr>NettoyageDecembre2021</vt:lpstr>
      <vt:lpstr>NettoyageFevrier2022</vt:lpstr>
      <vt:lpstr>NettoyageJanvier2022</vt:lpstr>
      <vt:lpstr>NettoyageMars2022</vt:lpstr>
      <vt:lpstr>NomContact</vt:lpstr>
      <vt:lpstr>NomEntreprise</vt:lpstr>
      <vt:lpstr>NumeroCompte</vt:lpstr>
      <vt:lpstr>OpositionEnCours</vt:lpstr>
      <vt:lpstr>OptionCalculdesCharges</vt:lpstr>
      <vt:lpstr>PatenteDecembre2021</vt:lpstr>
      <vt:lpstr>PatenteFevrier2022</vt:lpstr>
      <vt:lpstr>PatenteJanvier2022</vt:lpstr>
      <vt:lpstr>PatenteMars2022</vt:lpstr>
      <vt:lpstr>PortableContact</vt:lpstr>
      <vt:lpstr>PrenomContact</vt:lpstr>
      <vt:lpstr>PrestationDecembre2021</vt:lpstr>
      <vt:lpstr>PrestationFevrier2022</vt:lpstr>
      <vt:lpstr>PrestationJanvier2022</vt:lpstr>
      <vt:lpstr>PrestationMars2022</vt:lpstr>
      <vt:lpstr>ProtectionDecembre2021</vt:lpstr>
      <vt:lpstr>ProtectionFevrier2022</vt:lpstr>
      <vt:lpstr>ProtectionJanvier2022</vt:lpstr>
      <vt:lpstr>ProtectionMars2022</vt:lpstr>
      <vt:lpstr>RegionEntreprise</vt:lpstr>
      <vt:lpstr>RegionSiege</vt:lpstr>
      <vt:lpstr>ResponsabiliteDecembre2021</vt:lpstr>
      <vt:lpstr>ResponsabiliteFevrier2022</vt:lpstr>
      <vt:lpstr>ResponsabiliteJanvier2022</vt:lpstr>
      <vt:lpstr>ResponsabiliteMars2022</vt:lpstr>
      <vt:lpstr>RueContact</vt:lpstr>
      <vt:lpstr>RueEntreprise</vt:lpstr>
      <vt:lpstr>RueSiege</vt:lpstr>
      <vt:lpstr>SalairesDecembre2021</vt:lpstr>
      <vt:lpstr>SalairesFevrier2022</vt:lpstr>
      <vt:lpstr>SalairesJanvier2022</vt:lpstr>
      <vt:lpstr>SalairesMars2022</vt:lpstr>
      <vt:lpstr>SecuriteDecembre2021</vt:lpstr>
      <vt:lpstr>SecuriteFevrier2022</vt:lpstr>
      <vt:lpstr>SecuriteJanvier2022</vt:lpstr>
      <vt:lpstr>SecuriteMars2022</vt:lpstr>
      <vt:lpstr>SiteWeb</vt:lpstr>
      <vt:lpstr>TaxesDecembre2021</vt:lpstr>
      <vt:lpstr>TaxesFevrier2022</vt:lpstr>
      <vt:lpstr>TaxesJanvier2022</vt:lpstr>
      <vt:lpstr>TaxesMars2022</vt:lpstr>
      <vt:lpstr>TaxesVehiculeDecembre2021</vt:lpstr>
      <vt:lpstr>TaxesVehiculeFevrier2022</vt:lpstr>
      <vt:lpstr>TaxesVehiculeJanvier2022</vt:lpstr>
      <vt:lpstr>TaxesVehiculeMars2022</vt:lpstr>
      <vt:lpstr>TelephoneContact</vt:lpstr>
      <vt:lpstr>TelephoneDecembre2021</vt:lpstr>
      <vt:lpstr>TelephoneEntreprise</vt:lpstr>
      <vt:lpstr>TelephoneFevrier2022</vt:lpstr>
      <vt:lpstr>TelephoneJanvier2022</vt:lpstr>
      <vt:lpstr>TelephoneMars2022</vt:lpstr>
      <vt:lpstr>VehiculesDecembre2021</vt:lpstr>
      <vt:lpstr>VehiculesFevrier2022</vt:lpstr>
      <vt:lpstr>VehiculesJanvier2022</vt:lpstr>
      <vt:lpstr>VehiculesMars2022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Colangelo</dc:creator>
  <cp:lastModifiedBy>Hausherr Beat, WEU-AWI-FU-IE</cp:lastModifiedBy>
  <dcterms:created xsi:type="dcterms:W3CDTF">2020-12-02T07:11:28Z</dcterms:created>
  <dcterms:modified xsi:type="dcterms:W3CDTF">2022-04-25T07:27:57Z</dcterms:modified>
</cp:coreProperties>
</file>