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trlProps/ctrlProp1.xml" ContentType="application/vnd.ms-excel.controlproperties+xml"/>
  <Override PartName="/xl/drawings/drawing10.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2980" windowHeight="8160" tabRatio="620"/>
  </bookViews>
  <sheets>
    <sheet name="Entrées" sheetId="3" r:id="rId1"/>
    <sheet name="MINERGIE" sheetId="33254" state="hidden" r:id="rId2"/>
    <sheet name="Justificatif" sheetId="1027" r:id="rId3"/>
    <sheet name="Eté" sheetId="33255" r:id="rId4"/>
    <sheet name="Aperçu" sheetId="33257" state="hidden" r:id="rId5"/>
    <sheet name="MOP" sheetId="33253" state="hidden" r:id="rId6"/>
    <sheet name="Aperçu_BE" sheetId="33261" r:id="rId7"/>
    <sheet name="Standardwerte" sheetId="83" state="hidden" r:id="rId8"/>
    <sheet name="Uebersetzung" sheetId="1" state="hidden" r:id="rId9"/>
    <sheet name="PVopti" sheetId="33258" state="hidden" r:id="rId10"/>
    <sheet name="Log" sheetId="8194" state="hidden" r:id="rId11"/>
    <sheet name="Construction"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Justificatif!$J$27</definedName>
    <definedName name="DeckungsgradWW">Justificatif!$L$27</definedName>
    <definedName name="_xlnm.Print_Area" localSheetId="4">Aperçu!$A$1:$K$70</definedName>
    <definedName name="_xlnm.Print_Area" localSheetId="6">Aperçu_BE!$A$1:$K$70</definedName>
    <definedName name="_xlnm.Print_Area" localSheetId="11">Construction!$A$2:$I$49</definedName>
    <definedName name="_xlnm.Print_Area" localSheetId="0">Entrées!$A$1:$K$62</definedName>
    <definedName name="_xlnm.Print_Area" localSheetId="3">Eté!$A$1:$M$52</definedName>
    <definedName name="_xlnm.Print_Area" localSheetId="2">Justificatif!$A$1:$L$84</definedName>
    <definedName name="_xlnm.Print_Area" localSheetId="1">MINERGIE!$A$1:$K$73</definedName>
    <definedName name="_xlnm.Print_Area" localSheetId="7">Standardwerte!$A$1:$Z$77</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Construction!$K$11</definedName>
    <definedName name="ebf_2">Construction!$L$11</definedName>
    <definedName name="ebf_3">Construction!$M$11</definedName>
    <definedName name="ebf_4">Construction!$N$11</definedName>
    <definedName name="EBF_MUKEN">Justificatif!$T$2</definedName>
    <definedName name="EBF_neu">MINERGIE!$Z$67</definedName>
    <definedName name="EBF_Zweckneubau">MINERGIE!$S$80</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Construction!$AG$28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Justificatif!$U$47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_erneuerbar_BE">Justificatif!$AC$3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52511"/>
</workbook>
</file>

<file path=xl/calcChain.xml><?xml version="1.0" encoding="utf-8"?>
<calcChain xmlns="http://schemas.openxmlformats.org/spreadsheetml/2006/main">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24"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F5" i="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2" i="33259"/>
  <c r="AD14" i="33259"/>
  <c r="AC14" i="33259"/>
  <c r="AB12" i="33259"/>
  <c r="AC15" i="33259"/>
  <c r="AB14" i="33259"/>
  <c r="AE15" i="33259"/>
  <c r="AD12" i="33259"/>
  <c r="AD15" i="33259"/>
  <c r="AE12" i="33259"/>
  <c r="AB15" i="33259"/>
  <c r="AE14"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E11" i="33259"/>
  <c r="AD13" i="33259"/>
  <c r="AD11" i="33259"/>
  <c r="AB13" i="33259"/>
  <c r="AC11" i="33259"/>
  <c r="AB11" i="33259"/>
  <c r="AC13" i="33259"/>
  <c r="AE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X79" i="33254"/>
  <c r="X80" i="33254" s="1"/>
  <c r="X86" i="33254" s="1"/>
  <c r="X34" i="33254" s="1"/>
  <c r="X37" i="33254" s="1"/>
  <c r="E25" i="33258"/>
  <c r="K23" i="3"/>
  <c r="K24" i="3"/>
  <c r="Q138" i="83"/>
  <c r="J43" i="1027"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I83" i="3" l="1"/>
  <c r="I84" i="3"/>
  <c r="I34" i="1027"/>
  <c r="A186" i="33253" s="1"/>
  <c r="H83" i="3"/>
  <c r="I39" i="1027" s="1"/>
  <c r="A196" i="33253" s="1"/>
  <c r="H84" i="3"/>
  <c r="G84" i="3"/>
  <c r="G83" i="3"/>
  <c r="AG17" i="33254"/>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I40" i="1027"/>
  <c r="E22" i="33258" s="1"/>
  <c r="A206" i="33253"/>
  <c r="J86" i="1027"/>
  <c r="I86" i="1027"/>
  <c r="I35" i="1027"/>
  <c r="H17" i="33254" s="1"/>
  <c r="R94" i="33254"/>
  <c r="A564" i="33253" s="1"/>
  <c r="Y46" i="33254"/>
  <c r="A207" i="33253"/>
  <c r="J35" i="1027"/>
  <c r="A192" i="33253" s="1"/>
  <c r="J34" i="1027"/>
  <c r="A187" i="33253" s="1"/>
  <c r="J39" i="1027"/>
  <c r="R106" i="33254" s="1"/>
  <c r="J40" i="1027"/>
  <c r="A202" i="33253" s="1"/>
  <c r="N144" i="83"/>
  <c r="A579" i="33253"/>
  <c r="Z79" i="33254"/>
  <c r="Z80" i="33254" s="1"/>
  <c r="Z81" i="33254" s="1"/>
  <c r="X47" i="33254"/>
  <c r="A578" i="33253"/>
  <c r="H86" i="1027"/>
  <c r="H34" i="1027"/>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H40" i="1027"/>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F84" i="3" l="1"/>
  <c r="F83" i="3"/>
  <c r="AH17" i="33254"/>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K84" i="3" l="1"/>
  <c r="K83" i="3"/>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F53" i="1027"/>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<sst xmlns="http://schemas.openxmlformats.org/spreadsheetml/2006/main" count="9032" uniqueCount="5208">
  <si>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</si>
  <si>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</si>
  <si>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</si>
  <si>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</si>
  <si>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</si>
  <si>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</si>
  <si>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</si>
  <si>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</si>
  <si>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</si>
  <si>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</si>
  <si>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</si>
  <si>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</si>
  <si>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</si>
  <si>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</si>
  <si>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</si>
  <si>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</si>
  <si>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</si>
  <si>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</si>
  <si>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</si>
  <si>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</si>
  <si>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</si>
  <si>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</si>
  <si>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</si>
  <si>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</si>
  <si>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</si>
  <si>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</si>
  <si>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</si>
  <si>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</si>
  <si>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</si>
  <si>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</si>
  <si>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</si>
  <si>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</si>
  <si>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</si>
  <si>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</si>
  <si>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</si>
  <si>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</si>
  <si>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</si>
  <si>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</si>
  <si>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</si>
  <si>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</si>
  <si>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</si>
  <si>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</si>
  <si>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</si>
  <si>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</si>
  <si>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</si>
  <si>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</si>
  <si>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</si>
  <si>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</si>
  <si>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</si>
  <si>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</si>
  <si>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</si>
  <si>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</si>
  <si>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</si>
  <si>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</si>
  <si>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</si>
  <si>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</si>
  <si>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</si>
  <si>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</si>
  <si>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</si>
  <si>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</si>
  <si>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</si>
  <si>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</si>
  <si>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</si>
  <si>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</si>
  <si>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</si>
  <si>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</si>
  <si>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</si>
  <si>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</si>
  <si>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</si>
  <si>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</si>
  <si>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</si>
  <si>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</si>
  <si>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</si>
  <si>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</si>
  <si>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</si>
  <si>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</si>
  <si>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</si>
  <si>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</si>
  <si>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</si>
  <si>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</si>
  <si>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</si>
  <si>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</si>
  <si>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</si>
  <si>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</si>
  <si>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</si>
  <si>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</si>
  <si>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</si>
  <si>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</si>
  <si>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</si>
  <si>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</si>
  <si>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</si>
  <si>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</si>
  <si>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</si>
  <si>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</si>
  <si>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</si>
  <si>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</si>
  <si>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</si>
  <si>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</si>
  <si>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</si>
  <si>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</si>
  <si>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</si>
  <si>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</si>
  <si>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</si>
  <si>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</si>
  <si>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</si>
  <si>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</si>
  <si>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</si>
  <si>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</si>
  <si>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</si>
  <si>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</si>
  <si>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</si>
  <si>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</si>
  <si>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</si>
  <si>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</si>
  <si>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</si>
  <si>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</si>
  <si>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</si>
  <si>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</si>
  <si>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</si>
  <si>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</si>
  <si>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</si>
  <si>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</si>
  <si>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</si>
  <si>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</si>
  <si>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</si>
  <si>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</si>
  <si>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</si>
  <si>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</si>
  <si>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</si>
  <si>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</si>
  <si>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</si>
  <si>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</si>
  <si>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</si>
  <si>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</si>
  <si>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</si>
  <si>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</si>
  <si>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</si>
  <si>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</si>
  <si>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</si>
  <si>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</si>
  <si>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</si>
  <si>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</si>
  <si>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</si>
  <si>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</si>
  <si>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</si>
  <si>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</si>
  <si>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</si>
  <si>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</si>
  <si>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</si>
  <si>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</si>
  <si>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</si>
  <si>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</si>
  <si>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</si>
  <si>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</si>
  <si>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</si>
  <si>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</si>
  <si>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</si>
  <si>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</si>
  <si>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</si>
  <si>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</si>
  <si>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</si>
  <si>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</si>
  <si>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</si>
  <si>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</si>
  <si>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</si>
  <si>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</si>
  <si>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</si>
  <si>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</si>
  <si>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</si>
  <si>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</si>
  <si>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</si>
  <si>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</si>
  <si>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</si>
  <si>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</si>
  <si>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</si>
  <si>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</si>
  <si>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</si>
  <si>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</si>
  <si>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</si>
  <si>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</si>
  <si>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</si>
  <si>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</si>
  <si>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</si>
  <si>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</si>
  <si>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</si>
  <si>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</si>
  <si>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</si>
  <si>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</si>
  <si>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</si>
  <si>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</si>
  <si>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</si>
  <si>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</si>
  <si>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</si>
  <si>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</si>
  <si>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</si>
  <si>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</si>
  <si>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</si>
  <si>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</si>
  <si>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</si>
  <si>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</si>
  <si>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</si>
  <si>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</si>
  <si>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</si>
  <si>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</si>
  <si>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</si>
  <si>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</si>
  <si>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</si>
  <si>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</si>
  <si>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</si>
  <si>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</si>
  <si>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</si>
  <si>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</si>
  <si>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</si>
  <si>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</si>
  <si>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</si>
  <si>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</si>
  <si>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</si>
  <si>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</si>
  <si>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</si>
  <si>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</si>
  <si>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</si>
  <si>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</si>
  <si>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</si>
  <si>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</si>
  <si>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</si>
  <si>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</si>
  <si>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</si>
  <si>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</si>
  <si>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</si>
  <si>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</si>
  <si>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</si>
  <si>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</si>
  <si>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</si>
  <si>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</si>
  <si>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</si>
  <si>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</si>
  <si>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</si>
  <si>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</si>
  <si>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</si>
  <si>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</si>
  <si>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</si>
  <si>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</si>
  <si>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</si>
  <si>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</si>
  <si>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</si>
  <si>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</si>
  <si>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</si>
  <si>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</si>
  <si>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</si>
  <si>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</si>
  <si>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</si>
  <si>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</si>
  <si>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</si>
  <si>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</si>
  <si>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</si>
  <si>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</si>
  <si>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</si>
  <si>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</si>
  <si>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</si>
  <si>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</si>
  <si>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</si>
  <si>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</si>
  <si>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</si>
  <si>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</si>
  <si>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</si>
  <si>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</si>
  <si>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</si>
  <si>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</si>
  <si>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</si>
  <si>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</si>
  <si>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</si>
  <si>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</si>
  <si>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</si>
  <si>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</si>
  <si>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</si>
  <si>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</si>
  <si>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</si>
  <si>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</si>
  <si>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</si>
  <si>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</si>
  <si>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</si>
  <si>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</si>
  <si>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</si>
  <si>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</si>
  <si>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</si>
  <si>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</si>
  <si>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</si>
  <si>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</si>
  <si>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</si>
  <si>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</si>
  <si>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</si>
  <si>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</si>
  <si>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</si>
  <si>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</si>
  <si>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</si>
  <si>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</si>
  <si>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</si>
  <si>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</si>
  <si>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</si>
  <si>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</si>
  <si>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</si>
  <si>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</si>
  <si>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</si>
  <si>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</si>
  <si>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</si>
  <si>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</si>
  <si>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</si>
  <si>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</si>
  <si>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</si>
  <si>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</si>
  <si>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</si>
  <si>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</si>
  <si>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</si>
  <si>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</si>
  <si>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</si>
  <si>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</si>
  <si>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</si>
  <si>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</si>
  <si>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</si>
  <si>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</si>
  <si>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</si>
  <si>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</si>
  <si>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</si>
  <si>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</si>
  <si>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</si>
  <si>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</si>
  <si>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</si>
  <si>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</si>
  <si>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</si>
  <si>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</si>
  <si>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</si>
  <si>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</si>
  <si>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</si>
  <si>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</si>
  <si>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</si>
  <si>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</si>
  <si>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</si>
  <si>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</si>
  <si>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</si>
  <si>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</si>
  <si>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</si>
  <si>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</si>
  <si>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</si>
  <si>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</si>
  <si>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</si>
  <si>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</si>
  <si>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</si>
  <si>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</si>
  <si>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</si>
  <si>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</si>
  <si>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</si>
  <si>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</si>
  <si>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</si>
  <si>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</si>
  <si>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</si>
  <si>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</si>
  <si>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</si>
  <si>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</si>
  <si>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</si>
  <si>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</si>
  <si>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</si>
  <si>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</si>
  <si>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</si>
  <si>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</si>
  <si>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</si>
  <si>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</si>
  <si>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</si>
  <si>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</si>
  <si>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</si>
  <si>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</si>
  <si>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</si>
  <si>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</si>
  <si>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</si>
  <si>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</si>
  <si>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</si>
  <si>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</si>
  <si>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</si>
  <si>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</si>
  <si>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</si>
  <si>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</si>
  <si>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</si>
  <si>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</si>
  <si>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</si>
  <si>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</si>
  <si>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</si>
  <si>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</si>
  <si>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</si>
  <si>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</si>
  <si>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</si>
  <si>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</si>
  <si>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</si>
  <si>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</si>
  <si>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</si>
  <si>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</si>
  <si>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</si>
  <si>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</si>
  <si>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</si>
  <si>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</si>
  <si>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</si>
  <si>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</si>
  <si>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</si>
  <si>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</si>
  <si>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</si>
  <si>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</si>
  <si>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</si>
  <si>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</si>
  <si>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</si>
  <si>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</si>
  <si>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</si>
  <si>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</si>
  <si>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</si>
  <si>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</si>
  <si>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</si>
  <si>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</si>
  <si>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</si>
  <si>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</si>
  <si>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</si>
  <si>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</si>
  <si>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</si>
  <si>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</si>
  <si>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</si>
  <si>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</si>
  <si>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</si>
  <si>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</si>
  <si>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</si>
  <si>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</si>
  <si>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</si>
  <si>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</si>
  <si>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</si>
  <si>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</si>
  <si>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</si>
  <si>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</si>
  <si>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</si>
  <si>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</si>
  <si>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</si>
  <si>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</si>
  <si>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</si>
  <si>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</si>
  <si>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</si>
  <si>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</si>
  <si>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</si>
  <si>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</si>
  <si>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</si>
  <si>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</si>
  <si>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</si>
  <si>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</si>
  <si>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</si>
  <si>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</si>
  <si>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</si>
  <si>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</si>
  <si>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</si>
  <si>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</si>
  <si>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</si>
  <si>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</si>
  <si>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</si>
  <si>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</si>
  <si>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</si>
  <si>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</si>
  <si>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</si>
  <si>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</si>
  <si>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</si>
  <si>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</si>
  <si>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</si>
  <si>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</si>
  <si>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</si>
  <si>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</si>
  <si>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</si>
  <si>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</si>
  <si>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</si>
  <si>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</si>
  <si>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</si>
  <si>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</si>
  <si>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</si>
  <si>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</si>
  <si>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</si>
  <si>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</si>
  <si>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</si>
  <si>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</si>
  <si>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</si>
  <si>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</si>
  <si>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</si>
  <si>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</si>
  <si>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</si>
  <si>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</si>
  <si>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</si>
  <si>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</si>
  <si>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</si>
  <si>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</si>
  <si>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</si>
  <si>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</si>
  <si>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</si>
  <si>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</si>
  <si>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</si>
  <si>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</si>
  <si>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</si>
  <si>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</si>
  <si>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</si>
  <si>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</si>
  <si>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</si>
  <si>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</si>
  <si>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</si>
  <si>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</si>
  <si>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</si>
  <si>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</si>
  <si>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</si>
  <si>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</si>
  <si>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</si>
  <si>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</si>
  <si>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</si>
  <si>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</si>
  <si>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</si>
  <si>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</si>
  <si>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</si>
  <si>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</si>
  <si>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</si>
  <si>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</si>
  <si>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</si>
  <si>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</si>
  <si>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</si>
  <si>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</si>
  <si>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</si>
  <si>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</si>
  <si>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</si>
  <si>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</si>
  <si>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</si>
  <si>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</si>
  <si>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</si>
  <si>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</si>
  <si>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</si>
  <si>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</si>
  <si>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</si>
  <si>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</si>
  <si>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</si>
  <si>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</si>
  <si>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</si>
  <si>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</si>
  <si>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</si>
  <si>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</si>
  <si>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</si>
  <si>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</si>
  <si>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</si>
  <si>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</si>
  <si>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</si>
  <si>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</si>
  <si>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</si>
  <si>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</si>
  <si>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</si>
  <si>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</si>
  <si>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</si>
  <si>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</si>
  <si>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</si>
  <si>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</si>
  <si>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</si>
  <si>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</si>
  <si>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</si>
  <si>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</si>
  <si>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</si>
  <si>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</si>
  <si>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</si>
  <si>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</si>
  <si>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</si>
  <si>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</si>
  <si>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</si>
  <si>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</si>
  <si>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</si>
  <si>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</si>
  <si>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</si>
  <si>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</si>
  <si>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</si>
  <si>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</si>
  <si>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</si>
  <si>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</si>
  <si>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</si>
  <si>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</si>
  <si>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</si>
  <si>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</si>
  <si>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</si>
  <si>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</si>
  <si>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</si>
  <si>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</si>
  <si>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</si>
  <si>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</si>
  <si>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</si>
  <si>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</si>
  <si>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</si>
  <si>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</si>
  <si>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</si>
  <si>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</si>
  <si>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</si>
  <si>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</si>
  <si>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</si>
  <si>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</si>
  <si>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</si>
  <si>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</si>
  <si>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</si>
  <si>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</si>
  <si>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</si>
  <si>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</si>
  <si>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</si>
  <si>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</si>
  <si>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</si>
  <si>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</si>
  <si>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</si>
  <si>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</si>
  <si>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</si>
  <si>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</si>
  <si>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</si>
  <si>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</si>
  <si>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</si>
  <si>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</si>
  <si>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</si>
  <si>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</si>
  <si>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</si>
  <si>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</si>
  <si>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</si>
  <si>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</si>
  <si>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</si>
  <si>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</si>
  <si>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</si>
  <si>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</si>
  <si>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</si>
  <si>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</si>
  <si>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</si>
  <si>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</si>
  <si>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</si>
  <si>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</si>
  <si>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</si>
  <si>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</si>
  <si>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</si>
  <si>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</si>
  <si>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</si>
  <si>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</si>
  <si>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</si>
  <si>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</si>
  <si>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</si>
  <si>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</si>
  <si>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</si>
  <si>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</si>
  <si>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</si>
  <si>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</si>
  <si>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</si>
  <si>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</si>
  <si>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</si>
  <si>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</si>
  <si>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</si>
  <si>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</si>
  <si>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</si>
  <si>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</si>
  <si>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</si>
  <si>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</si>
  <si>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</si>
  <si>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</si>
  <si>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</si>
  <si>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</si>
  <si>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</si>
  <si>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</si>
  <si>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</si>
  <si>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</si>
  <si>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</si>
  <si>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</si>
  <si>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</si>
  <si>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</si>
  <si>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</si>
  <si>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</si>
  <si>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</si>
  <si>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</si>
  <si>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</si>
  <si>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</si>
  <si>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</si>
  <si>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</si>
  <si>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</si>
  <si>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</si>
  <si>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</si>
  <si>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</si>
  <si>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</si>
  <si>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</si>
  <si>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</si>
  <si>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</si>
  <si>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</si>
  <si>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</si>
  <si>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</si>
  <si>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</si>
  <si>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</si>
  <si>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</si>
  <si>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</si>
  <si>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</si>
  <si>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</si>
  <si>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</si>
  <si>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</si>
  <si>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</si>
  <si>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</si>
  <si>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</si>
  <si>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</si>
  <si>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</si>
  <si>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</si>
  <si>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</si>
  <si>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</si>
  <si>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</si>
  <si>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</si>
  <si>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</si>
  <si>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</si>
  <si>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</si>
  <si>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</si>
  <si>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</si>
  <si>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</si>
  <si>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</si>
  <si>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</si>
  <si>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</si>
  <si>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</si>
  <si>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</si>
  <si>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</si>
  <si>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</si>
  <si>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</si>
  <si>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</si>
  <si>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</si>
  <si>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</si>
  <si>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</si>
  <si>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</si>
  <si>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</si>
  <si>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</si>
  <si>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</si>
  <si>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</si>
  <si>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</si>
  <si>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</si>
  <si>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</si>
  <si>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</si>
  <si>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</si>
  <si>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</si>
  <si>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</si>
  <si>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</si>
  <si>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</si>
  <si>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</si>
  <si>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</si>
  <si>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</si>
  <si>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</si>
  <si>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</si>
  <si>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</si>
  <si>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</si>
  <si>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</si>
  <si>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</si>
  <si>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</si>
  <si>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</si>
  <si>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</si>
  <si>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</si>
  <si>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</si>
  <si>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</si>
  <si>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</si>
  <si>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</si>
  <si>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</si>
  <si>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</si>
  <si>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</si>
  <si>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</si>
  <si>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</si>
  <si>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</si>
  <si>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</si>
  <si>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</si>
  <si>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</si>
  <si>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</si>
  <si>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</si>
  <si>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</si>
  <si>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</si>
  <si>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</si>
  <si>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</si>
  <si>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</si>
  <si>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</si>
  <si>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</si>
  <si>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</si>
  <si>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</si>
  <si>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</si>
  <si>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</si>
  <si>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</si>
  <si>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</si>
  <si>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</si>
  <si>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</si>
  <si>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</si>
  <si>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</si>
  <si>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</si>
  <si>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</si>
  <si>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</si>
  <si>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</si>
  <si>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</si>
  <si>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</si>
  <si>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</si>
  <si>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</si>
  <si>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</si>
  <si>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</si>
  <si>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</si>
  <si>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</si>
  <si>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</si>
  <si>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</si>
  <si>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</si>
  <si>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</si>
  <si>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</si>
  <si>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</si>
  <si>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</si>
  <si>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</si>
  <si>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</si>
  <si>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</si>
  <si>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</si>
  <si>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</si>
  <si>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</si>
  <si>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</si>
  <si>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</si>
  <si>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</si>
  <si>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</si>
  <si>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</si>
  <si>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</si>
  <si>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</si>
  <si>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</si>
  <si>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</si>
  <si>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</si>
  <si>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</si>
  <si>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</si>
  <si>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</si>
  <si>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</si>
  <si>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</si>
  <si>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</si>
  <si>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</si>
  <si>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</si>
  <si>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</si>
  <si>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</si>
  <si>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</si>
  <si>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</si>
  <si>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</si>
  <si>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</si>
  <si>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</si>
  <si>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</si>
  <si>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</si>
  <si>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</si>
  <si>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</si>
  <si>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</si>
  <si>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</si>
  <si>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</si>
  <si>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</si>
  <si>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</si>
  <si>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</si>
  <si>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</si>
  <si>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</si>
  <si>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</si>
  <si>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</si>
  <si>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</si>
  <si>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</si>
  <si>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</si>
  <si>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</si>
  <si>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</si>
  <si>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</si>
  <si>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</si>
  <si>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</si>
  <si>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</si>
  <si>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</si>
  <si>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</si>
  <si>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</si>
  <si>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</si>
  <si>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</si>
  <si>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</si>
  <si>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</si>
  <si>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</si>
  <si>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</si>
  <si>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</si>
  <si>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</si>
  <si>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</si>
  <si>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</si>
  <si>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</si>
  <si>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</si>
  <si>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</si>
  <si>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</si>
  <si>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</si>
  <si>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</si>
  <si>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</si>
  <si>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</si>
  <si>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</si>
  <si>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</si>
  <si>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</si>
  <si>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</si>
  <si>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</si>
  <si>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</si>
  <si>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</si>
  <si>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</si>
  <si>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</si>
  <si>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</si>
  <si>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</si>
  <si>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</si>
  <si>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</si>
  <si>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</si>
  <si>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</si>
  <si>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</si>
  <si>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</si>
  <si>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</si>
  <si>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</si>
  <si>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</si>
  <si>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</si>
  <si>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</si>
  <si>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</si>
  <si>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</si>
  <si>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</si>
  <si>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</si>
  <si>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</si>
  <si>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</si>
  <si>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</si>
  <si>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</si>
  <si>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</si>
  <si>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</si>
  <si>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</si>
  <si>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</si>
  <si>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</si>
  <si>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</si>
  <si>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</si>
  <si>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</si>
  <si>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</si>
  <si>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</si>
  <si>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</si>
  <si>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</si>
  <si>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</si>
  <si>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</si>
  <si>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</si>
  <si>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</si>
  <si>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</si>
  <si>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</si>
  <si>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</si>
  <si>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</si>
  <si>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</si>
  <si>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</si>
  <si>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</si>
  <si>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</si>
  <si>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</si>
  <si>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</si>
  <si>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</si>
  <si>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</si>
  <si>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</si>
  <si>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</si>
  <si>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</si>
  <si>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</si>
  <si>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</si>
  <si>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</si>
  <si>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</si>
  <si>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</si>
  <si>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</si>
  <si>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</si>
  <si>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</si>
  <si>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</si>
  <si>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</si>
  <si>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</si>
  <si>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</si>
  <si>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</si>
  <si>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</si>
  <si>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</si>
  <si>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</si>
  <si>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</si>
  <si>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</si>
  <si>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</si>
  <si>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</si>
  <si>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</si>
  <si>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</si>
  <si>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</si>
  <si>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</si>
  <si>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</si>
  <si>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</si>
  <si>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</si>
  <si>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</si>
  <si>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</si>
  <si>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</si>
  <si>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</si>
  <si>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</si>
  <si>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</si>
  <si>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</si>
  <si>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</si>
  <si>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</si>
  <si>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</si>
  <si>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</si>
  <si>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</si>
  <si>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</si>
  <si>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</si>
  <si>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</si>
  <si>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</si>
  <si>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</si>
  <si>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</si>
  <si>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</si>
  <si>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</si>
  <si>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</si>
  <si>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</si>
  <si>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</si>
  <si>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</si>
  <si>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</si>
  <si>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</si>
  <si>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</si>
  <si>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</si>
  <si>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</si>
  <si>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</si>
  <si>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</si>
  <si>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</si>
  <si>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</si>
  <si>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</si>
  <si>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</si>
  <si>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</si>
  <si>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</si>
  <si>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</si>
  <si>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</si>
  <si>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</si>
  <si>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</si>
  <si>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</si>
  <si>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</si>
  <si>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</si>
  <si>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</si>
  <si>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</si>
  <si>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</si>
  <si>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</si>
  <si>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</si>
  <si>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</si>
  <si>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</si>
  <si>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</si>
  <si>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</si>
  <si>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</si>
  <si>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</si>
  <si>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</si>
  <si>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</si>
  <si>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</si>
  <si>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</si>
  <si>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</si>
  <si>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</si>
  <si>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</si>
  <si>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</si>
  <si>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</si>
  <si>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</si>
  <si>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</si>
  <si>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</si>
  <si>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</si>
  <si>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</si>
  <si>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</si>
  <si>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</si>
  <si>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</si>
  <si>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</si>
  <si>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</si>
  <si>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</si>
  <si>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</si>
  <si>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</si>
  <si>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</si>
  <si>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</si>
  <si>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</si>
  <si>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</si>
  <si>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</si>
  <si>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</si>
  <si>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</si>
  <si>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</si>
  <si>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</si>
  <si>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</si>
  <si>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</si>
  <si>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</si>
  <si>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</si>
  <si>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</si>
  <si>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</si>
  <si>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</si>
  <si>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</si>
  <si>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</si>
  <si>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</si>
  <si>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</si>
  <si>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</si>
  <si>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</si>
  <si>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</si>
  <si>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</si>
  <si>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</si>
  <si>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</si>
  <si>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</si>
  <si>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</si>
  <si>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</si>
  <si>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</si>
  <si>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</si>
  <si>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</si>
  <si>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</si>
  <si>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</si>
  <si>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</si>
  <si>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</si>
  <si>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</si>
  <si>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</si>
  <si>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</si>
  <si>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</si>
  <si>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</si>
  <si>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</si>
  <si>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</si>
  <si>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</si>
  <si>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</si>
  <si>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</si>
  <si>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</si>
  <si>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</si>
  <si>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</si>
  <si>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</si>
  <si>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</si>
  <si>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</si>
  <si>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</si>
  <si>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</si>
  <si>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</si>
  <si>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</si>
  <si>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</si>
  <si>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</si>
  <si>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</si>
  <si>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</si>
  <si>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</si>
  <si>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</si>
  <si>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</si>
  <si>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</si>
  <si>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</si>
  <si>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</si>
  <si>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</si>
  <si>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</si>
  <si>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</si>
  <si>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</si>
  <si>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</si>
  <si>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</si>
  <si>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</si>
  <si>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</si>
  <si>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</si>
  <si>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</si>
  <si>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</si>
  <si>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</si>
  <si>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</si>
  <si>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</si>
  <si>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</si>
  <si>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</si>
  <si>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</si>
  <si>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</si>
  <si>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</si>
  <si>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</si>
  <si>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</si>
  <si>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</si>
  <si>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</si>
  <si>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</si>
  <si>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</si>
  <si>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</si>
  <si>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</si>
  <si>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</si>
  <si>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</si>
  <si>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</si>
  <si>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</si>
  <si>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</si>
  <si>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</si>
  <si>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</si>
  <si>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</si>
  <si>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</si>
  <si>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</si>
  <si>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</si>
  <si>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</si>
  <si>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</si>
  <si>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</si>
  <si>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</si>
  <si>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</si>
  <si>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</si>
  <si>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</si>
  <si>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</si>
  <si>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</si>
  <si>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</si>
  <si>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</si>
  <si>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</si>
  <si>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</si>
  <si>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</si>
  <si>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</si>
  <si>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</si>
  <si>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</si>
  <si>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</si>
  <si>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</si>
  <si>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</si>
  <si>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</si>
  <si>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</si>
  <si>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</si>
  <si>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</si>
  <si>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</si>
  <si>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</si>
  <si>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</si>
  <si>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</si>
  <si>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</si>
  <si>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</si>
  <si>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</si>
  <si>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</si>
  <si>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</si>
  <si>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</si>
  <si>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</si>
  <si>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</si>
  <si>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</si>
  <si>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</si>
  <si>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</si>
  <si>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</si>
  <si>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</si>
  <si>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</si>
  <si>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</si>
  <si>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</si>
  <si>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</si>
  <si>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</si>
  <si>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</si>
  <si>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</si>
  <si>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</si>
  <si>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</si>
  <si>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</si>
  <si>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</si>
  <si>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</si>
  <si>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</si>
  <si>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</si>
  <si>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</si>
  <si>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</si>
  <si>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</si>
  <si>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</si>
  <si>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</si>
  <si>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</si>
  <si>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</si>
  <si>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</si>
  <si>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</si>
  <si>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</si>
  <si>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</si>
  <si>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</si>
  <si>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</si>
  <si>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</si>
  <si>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</si>
  <si>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</si>
  <si>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</si>
  <si>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</si>
  <si>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</si>
  <si>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</si>
  <si>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</si>
  <si>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</si>
  <si>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</si>
  <si>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</si>
  <si>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</si>
  <si>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</si>
  <si>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</si>
  <si>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</si>
  <si>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</si>
  <si>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</si>
  <si>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</si>
  <si>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</si>
  <si>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</si>
  <si>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</si>
  <si>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</si>
  <si>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</si>
  <si>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</si>
  <si>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</si>
  <si>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</si>
  <si>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</si>
  <si>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</si>
  <si>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</si>
  <si>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</si>
  <si>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</si>
  <si>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</si>
  <si>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</si>
  <si>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</si>
  <si>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</si>
  <si>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</si>
  <si>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</si>
  <si>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</si>
  <si>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</si>
  <si>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</si>
  <si>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</si>
  <si>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</si>
  <si>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</si>
  <si>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</si>
  <si>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</si>
  <si>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</si>
  <si>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</si>
  <si>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</si>
  <si>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</si>
  <si>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</si>
  <si>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</si>
  <si>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</si>
  <si>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</si>
  <si>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</si>
  <si>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</si>
  <si>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</si>
  <si>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</si>
  <si>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</si>
  <si>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</si>
  <si>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</si>
  <si>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</si>
  <si>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</si>
  <si>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</si>
  <si>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</si>
  <si>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</si>
  <si>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</si>
  <si>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</si>
  <si>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</si>
  <si>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</si>
  <si>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</si>
  <si>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</si>
  <si>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</si>
  <si>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</si>
  <si>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</si>
  <si>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</si>
  <si>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</si>
  <si>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</si>
  <si>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</si>
  <si>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</si>
  <si>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</si>
  <si>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</si>
  <si>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</si>
  <si>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</si>
  <si>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</si>
  <si>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</si>
  <si>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</si>
  <si>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</si>
  <si>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</si>
  <si>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</si>
  <si>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</si>
  <si>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</si>
  <si>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</si>
  <si>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</si>
  <si>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</si>
  <si>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</si>
  <si>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</si>
  <si>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</si>
  <si>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</si>
  <si>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</si>
  <si>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</si>
  <si>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</si>
  <si>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</si>
  <si>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</si>
  <si>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</si>
  <si>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</si>
  <si>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</si>
  <si>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</si>
  <si>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</si>
  <si>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</si>
  <si>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</si>
  <si>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</si>
  <si>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</si>
  <si>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</si>
  <si>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</si>
  <si>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</si>
  <si>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</si>
  <si>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</si>
  <si>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</si>
  <si>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</si>
  <si>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</si>
  <si>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</si>
  <si>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</si>
  <si>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</si>
  <si>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</si>
  <si>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</si>
  <si>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</si>
  <si>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</si>
  <si>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</si>
  <si>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</si>
  <si>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</si>
  <si>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</si>
  <si>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</si>
  <si>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</si>
  <si>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</si>
  <si>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</si>
  <si>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</si>
  <si>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</si>
  <si>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</si>
  <si>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</si>
  <si>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</si>
  <si>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</si>
  <si>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</si>
  <si>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</si>
  <si>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</si>
  <si>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</si>
  <si>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</si>
  <si>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</si>
  <si>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</si>
  <si>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</si>
  <si>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</si>
  <si>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</si>
  <si>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</si>
  <si>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</si>
  <si>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</si>
  <si>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</si>
  <si>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</si>
  <si>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</si>
  <si>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</si>
  <si>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</si>
  <si>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</si>
  <si>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</si>
  <si>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</si>
  <si>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</si>
  <si>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</si>
  <si>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</si>
  <si>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</si>
  <si>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</si>
  <si>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</si>
  <si>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</si>
  <si>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</si>
  <si>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</si>
  <si>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</si>
  <si>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</si>
  <si>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</si>
  <si>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</si>
  <si>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</si>
  <si>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</si>
  <si>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</si>
  <si>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</si>
  <si>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</si>
  <si>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</si>
  <si>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</si>
  <si>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</si>
  <si>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</si>
  <si>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</si>
  <si>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</si>
  <si>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</si>
  <si>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</si>
  <si>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</si>
  <si>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</si>
  <si>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</si>
  <si>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</si>
  <si>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</si>
  <si>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</si>
  <si>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</si>
  <si>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</si>
  <si>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</si>
  <si>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</si>
  <si>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</si>
  <si>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</si>
  <si>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</si>
  <si>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</si>
  <si>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</si>
  <si>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</si>
  <si>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</si>
  <si>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</si>
  <si>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</si>
  <si>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</si>
  <si>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</si>
  <si>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</si>
  <si>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</si>
  <si>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</si>
  <si>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</si>
  <si>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</si>
  <si>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</si>
  <si>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</si>
  <si>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</si>
  <si>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</si>
  <si>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</si>
  <si>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</si>
  <si>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</si>
  <si>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</si>
  <si>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</si>
  <si>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</si>
  <si>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</si>
  <si>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</si>
  <si>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</si>
  <si>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</si>
  <si>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</si>
  <si>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</si>
  <si>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</si>
  <si>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</si>
  <si>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</si>
  <si>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</si>
  <si>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</si>
  <si>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</si>
  <si>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</si>
  <si>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</si>
  <si>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</si>
  <si>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</si>
  <si>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</si>
  <si>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</si>
  <si>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</si>
  <si>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</si>
  <si>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</si>
  <si>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</si>
  <si>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</si>
  <si>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</si>
  <si>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</si>
  <si>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</si>
  <si>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</si>
  <si>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</si>
  <si>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</si>
  <si>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</si>
  <si>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</si>
  <si>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</si>
  <si>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</si>
  <si>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</si>
  <si>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</si>
  <si>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</si>
  <si>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</si>
  <si>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</si>
  <si>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</si>
  <si>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</si>
  <si>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</si>
  <si>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</si>
  <si>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</si>
  <si>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</si>
  <si>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</si>
  <si>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</si>
  <si>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</si>
  <si>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</si>
  <si>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</si>
  <si>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</si>
  <si>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</si>
  <si>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</si>
  <si>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</si>
  <si>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</si>
  <si>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</si>
  <si>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</si>
  <si>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</si>
  <si>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</si>
  <si>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</si>
  <si>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</si>
  <si>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</si>
  <si>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</si>
  <si>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</si>
  <si>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</si>
  <si>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</si>
  <si>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</si>
  <si>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</si>
  <si>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</si>
  <si>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</si>
  <si>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</si>
  <si>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</si>
  <si>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</si>
  <si>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</si>
  <si>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</si>
  <si>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</si>
  <si>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</si>
  <si>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</si>
  <si>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</si>
  <si>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</si>
  <si>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</si>
  <si>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</si>
  <si>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</si>
  <si>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</si>
  <si>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</si>
  <si>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</si>
  <si>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</si>
  <si>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</si>
  <si>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</si>
  <si>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</si>
  <si>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</si>
  <si>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</si>
  <si>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</si>
  <si>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</si>
  <si>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</si>
  <si>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</si>
  <si>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</si>
  <si>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</si>
  <si>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</si>
  <si>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</si>
  <si>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</si>
  <si>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</si>
  <si>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</si>
  <si>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</si>
  <si>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</si>
  <si>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</si>
  <si>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</si>
  <si>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</si>
  <si>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</si>
  <si>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</si>
  <si>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</si>
  <si>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</si>
  <si>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</si>
  <si>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</si>
  <si>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</si>
  <si>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</si>
  <si>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</si>
  <si>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</si>
  <si>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</si>
  <si>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</si>
  <si>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</si>
  <si>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</si>
  <si>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</si>
  <si>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</si>
  <si>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</si>
  <si>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</si>
  <si>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</si>
  <si>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</si>
  <si>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</si>
  <si>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</si>
  <si>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</si>
  <si>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</si>
  <si>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</si>
  <si>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</si>
  <si>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</si>
  <si>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</si>
  <si>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</si>
  <si>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</si>
  <si>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</si>
  <si>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</si>
  <si>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</si>
  <si>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</si>
  <si>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</si>
  <si>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</si>
  <si>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</si>
  <si>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</si>
  <si>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</si>
  <si>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</si>
  <si>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</si>
  <si>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</si>
  <si>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</si>
  <si>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</si>
  <si>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</si>
  <si>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</si>
  <si>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</si>
  <si>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</si>
  <si>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</si>
  <si>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</si>
  <si>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</si>
  <si>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</si>
  <si>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</si>
  <si>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</si>
  <si>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</si>
  <si>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</si>
  <si>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</si>
  <si>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</si>
  <si>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</si>
  <si>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</si>
  <si>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</si>
  <si>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</si>
  <si>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</si>
  <si>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</si>
  <si>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</si>
  <si>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</si>
  <si>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</si>
  <si>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</si>
  <si>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</si>
  <si>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</si>
  <si>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</si>
  <si>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</si>
  <si>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</si>
  <si>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</si>
  <si>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</si>
  <si>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</si>
  <si>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</si>
  <si>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</si>
  <si>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</si>
  <si>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</si>
  <si>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</si>
  <si>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</si>
  <si>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</si>
  <si>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</si>
  <si>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</si>
  <si>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</si>
  <si>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</si>
  <si>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</si>
  <si>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</si>
  <si>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</si>
  <si>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</si>
  <si>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</si>
  <si>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</si>
  <si>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</si>
  <si>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</si>
  <si>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</si>
  <si>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</si>
  <si>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</si>
  <si>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</si>
  <si>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</si>
  <si>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</si>
  <si>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</si>
  <si>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</si>
  <si>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</si>
  <si>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</si>
  <si>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</si>
  <si>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</si>
  <si>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</si>
  <si>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</si>
  <si>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</si>
  <si>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</si>
  <si>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</si>
  <si>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</si>
  <si>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</si>
  <si>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</si>
  <si>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</si>
  <si>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</si>
  <si>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</si>
  <si>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</si>
  <si>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</si>
  <si>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</si>
  <si>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</si>
  <si>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</si>
  <si>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</si>
  <si>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</si>
  <si>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</si>
  <si>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</si>
  <si>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</si>
  <si>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</si>
  <si>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</si>
  <si>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</si>
  <si>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</si>
  <si>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</si>
  <si>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</si>
  <si>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</si>
  <si>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</si>
  <si>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</si>
  <si>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</si>
  <si>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</si>
  <si>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</si>
  <si>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</si>
  <si>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</si>
  <si>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</si>
  <si>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</si>
  <si>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</si>
  <si>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</si>
  <si>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</si>
  <si>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</si>
  <si>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</si>
  <si>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</si>
  <si>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</si>
  <si>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</si>
  <si>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</si>
  <si>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</si>
  <si>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</si>
  <si>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</si>
  <si>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</si>
  <si>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</si>
  <si>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</si>
  <si>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</si>
  <si>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</si>
  <si>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</si>
  <si>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</si>
  <si>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</si>
  <si>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</si>
  <si>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</si>
  <si>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</si>
  <si>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</si>
  <si>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</si>
  <si>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</si>
  <si>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</si>
  <si>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</si>
  <si>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</si>
  <si>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</si>
  <si>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</si>
  <si>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</si>
  <si>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</si>
  <si>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</si>
  <si>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</si>
  <si>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</si>
  <si>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</si>
  <si>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</si>
  <si>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</si>
  <si>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</si>
  <si>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</si>
  <si>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</si>
  <si>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</si>
  <si>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</si>
  <si>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</si>
  <si>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</si>
  <si>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</si>
  <si>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</si>
  <si>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</si>
  <si>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</si>
  <si>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</si>
  <si>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</si>
  <si>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</si>
  <si>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</si>
  <si>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</si>
  <si>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</si>
  <si>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</si>
  <si>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</si>
  <si>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</si>
  <si>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</si>
  <si>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</si>
  <si>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</si>
  <si>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</si>
  <si>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</si>
  <si>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</si>
  <si>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</si>
  <si>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</si>
  <si>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</si>
  <si>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</si>
  <si>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</si>
  <si>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</si>
  <si>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</si>
  <si>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</si>
  <si>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</si>
  <si>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</si>
  <si>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</si>
  <si>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</si>
  <si>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</si>
  <si>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</si>
  <si>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</si>
  <si>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</si>
  <si>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</si>
  <si>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</si>
  <si>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</si>
  <si>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</si>
  <si>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</si>
  <si>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</si>
  <si>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</si>
  <si>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</si>
  <si>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</si>
  <si>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</si>
  <si>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</si>
  <si>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</si>
  <si>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</si>
  <si>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</si>
  <si>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</si>
  <si>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</si>
  <si>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</si>
  <si>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</si>
  <si>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</si>
  <si>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</si>
  <si>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</si>
  <si>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</si>
  <si>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</si>
  <si>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</si>
  <si>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</si>
  <si>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</si>
  <si>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</si>
  <si>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</si>
  <si>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</si>
  <si>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</si>
  <si>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</si>
  <si>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</si>
  <si>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</si>
  <si>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</si>
  <si>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</si>
  <si>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</si>
  <si>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</si>
  <si>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</si>
  <si>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</si>
  <si>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</si>
  <si>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</si>
  <si>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</si>
  <si>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</si>
  <si>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</si>
  <si>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</si>
  <si>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</si>
  <si>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</si>
  <si>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</si>
  <si>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</si>
  <si>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</si>
  <si>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</si>
  <si>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</si>
  <si>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</si>
  <si>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</si>
  <si>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</si>
  <si>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</si>
  <si>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</si>
  <si>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</si>
  <si>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</si>
  <si>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</si>
  <si>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</si>
  <si>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</si>
  <si>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</si>
  <si>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</si>
  <si>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</si>
  <si>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</si>
  <si>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</si>
  <si>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</si>
  <si>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</si>
  <si>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</si>
  <si>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</si>
  <si>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</si>
  <si>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</si>
  <si>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</si>
  <si>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</si>
  <si>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</si>
  <si>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</si>
  <si>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</si>
  <si>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</si>
  <si>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</si>
  <si>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</si>
  <si>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</si>
  <si>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</si>
  <si>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</si>
  <si>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</si>
  <si>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</si>
  <si>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</si>
  <si>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</si>
  <si>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</si>
  <si>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</si>
  <si>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</si>
  <si>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</si>
  <si>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</si>
  <si>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</si>
  <si>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</si>
  <si>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</si>
  <si>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</si>
  <si>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</si>
  <si>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</si>
  <si>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</si>
  <si>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</si>
  <si>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</si>
  <si>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</si>
  <si>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</si>
  <si>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</si>
  <si>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</si>
  <si>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</si>
  <si>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</si>
  <si>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</si>
  <si>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</si>
  <si>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</si>
  <si>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</si>
  <si>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</si>
  <si>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</si>
  <si>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</si>
  <si>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</si>
  <si>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</si>
  <si>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</si>
  <si>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</si>
  <si>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</si>
  <si>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</si>
  <si>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</si>
  <si>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</si>
  <si>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</si>
  <si>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</si>
  <si>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</si>
  <si>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</si>
  <si>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</si>
  <si>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</si>
  <si>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</si>
  <si>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</si>
  <si>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</si>
  <si>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</si>
  <si>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</si>
  <si>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</si>
  <si>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</si>
  <si>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</si>
  <si>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</si>
  <si>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</si>
  <si>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</si>
  <si>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</si>
  <si>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</si>
  <si>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</si>
  <si>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</si>
  <si>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</si>
  <si>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</si>
  <si>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</si>
  <si>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</si>
  <si>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</si>
  <si>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</si>
  <si>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</si>
  <si>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</si>
  <si>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</si>
  <si>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</si>
  <si>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</si>
  <si>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</si>
  <si>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</si>
  <si>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</si>
  <si>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</si>
  <si>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</si>
  <si>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</si>
  <si>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</si>
  <si>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</si>
  <si>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</si>
  <si>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</si>
  <si>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</si>
  <si>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</si>
  <si>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</si>
  <si>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</si>
  <si>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</si>
  <si>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</si>
  <si>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</si>
  <si>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</si>
  <si>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</si>
  <si>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</si>
  <si>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</si>
  <si>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</si>
  <si>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</si>
  <si>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</si>
  <si>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</si>
  <si>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</si>
  <si>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</si>
  <si>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</si>
  <si>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</si>
  <si>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</si>
  <si>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</si>
  <si>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</si>
  <si>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</si>
  <si>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</si>
  <si>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</si>
  <si>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</si>
  <si>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</si>
  <si>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</si>
  <si>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</si>
  <si>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</si>
  <si>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</si>
  <si>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</si>
  <si>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</si>
  <si>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</si>
  <si>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</si>
  <si>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</si>
  <si>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</si>
  <si>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</si>
  <si>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</si>
  <si>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</si>
  <si>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</si>
  <si>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</si>
  <si>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</si>
  <si>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</si>
  <si>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</si>
  <si>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</si>
  <si>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</si>
  <si>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</si>
  <si>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</si>
  <si>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</si>
  <si>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</si>
  <si>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</si>
  <si>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</si>
  <si>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</si>
  <si>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</si>
  <si>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</si>
  <si>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</si>
  <si>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</si>
  <si>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</si>
  <si>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</si>
  <si>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</si>
  <si>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</si>
  <si>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</si>
  <si>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</si>
  <si>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</si>
  <si>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</si>
  <si>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</si>
  <si>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</si>
  <si>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</si>
  <si>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</si>
  <si>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</si>
  <si>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</si>
  <si>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</si>
  <si>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</si>
  <si>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</si>
  <si>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</si>
  <si>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</si>
  <si>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</si>
  <si>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</si>
  <si>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</si>
  <si>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</si>
  <si>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</si>
  <si>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</si>
  <si>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</si>
  <si>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</si>
  <si>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</si>
  <si>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</si>
  <si>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</si>
  <si>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</si>
  <si>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</si>
  <si>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</si>
  <si>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</si>
  <si>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</si>
  <si>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</si>
  <si>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</si>
  <si>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</si>
  <si>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</si>
  <si>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</si>
  <si>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</si>
  <si>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</si>
  <si>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</si>
  <si>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</si>
  <si>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</si>
  <si>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</si>
  <si>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</si>
  <si>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</si>
  <si>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</si>
  <si>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</si>
  <si>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</si>
  <si>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</si>
  <si>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</si>
  <si>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</si>
  <si>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</si>
  <si>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</si>
  <si>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</si>
  <si>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</si>
  <si>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</si>
  <si>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</si>
  <si>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</si>
  <si>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</si>
  <si>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</si>
  <si>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</si>
  <si>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</si>
  <si>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</si>
  <si>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</si>
  <si>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</si>
  <si>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</si>
  <si>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</si>
  <si>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</si>
  <si>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</si>
  <si>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</si>
  <si>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</si>
  <si>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</si>
  <si>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</si>
  <si>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</si>
  <si>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</si>
  <si>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</si>
  <si>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</si>
  <si>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</si>
  <si>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</si>
  <si>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</si>
  <si>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</si>
  <si>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</si>
  <si>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</si>
  <si>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</si>
  <si>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</si>
  <si>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</si>
  <si>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</si>
  <si>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</si>
  <si>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</si>
  <si>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</si>
  <si>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</si>
  <si>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</si>
  <si>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</si>
  <si>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</si>
  <si>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</si>
  <si>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</si>
  <si>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</si>
  <si>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</si>
  <si>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</si>
  <si>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</si>
  <si>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</si>
  <si>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</si>
  <si>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</si>
  <si>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</si>
  <si>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</si>
  <si>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</si>
  <si>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</si>
  <si>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</si>
  <si>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</si>
  <si>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</si>
  <si>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</si>
  <si>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</si>
  <si>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</si>
  <si>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</si>
  <si>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</si>
  <si>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</si>
  <si>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</si>
  <si>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</si>
  <si>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</si>
  <si>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</si>
  <si>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</si>
  <si>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</si>
  <si>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</si>
  <si>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</si>
  <si>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</si>
  <si>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</si>
  <si>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</si>
  <si>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</si>
  <si>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</si>
  <si>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</si>
  <si>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</si>
  <si>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</si>
  <si>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</si>
  <si>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</si>
  <si>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</si>
  <si>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</si>
  <si>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</si>
  <si>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</si>
  <si>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</si>
  <si>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</si>
  <si>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</si>
  <si>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</si>
  <si>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</si>
  <si>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</si>
  <si>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</si>
  <si>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</si>
  <si>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</si>
  <si>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</si>
  <si>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</si>
  <si>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</si>
  <si>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</si>
  <si>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</si>
  <si>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</si>
  <si>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</si>
  <si>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</si>
  <si>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</si>
  <si>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</si>
  <si>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</si>
  <si>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</si>
  <si>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</si>
  <si>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</si>
  <si>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</si>
  <si>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</si>
  <si>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</si>
  <si>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</si>
  <si>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</si>
  <si>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</si>
  <si>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</si>
  <si>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</si>
  <si>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</si>
  <si>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</si>
  <si>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</si>
  <si>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</si>
  <si>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</si>
  <si>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</si>
  <si>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</si>
  <si>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</si>
  <si>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</si>
  <si>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</si>
  <si>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</si>
  <si>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</si>
  <si>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</si>
  <si>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</si>
  <si>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</si>
  <si>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</si>
  <si>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</si>
  <si>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</si>
  <si>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</si>
  <si>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</si>
  <si>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</si>
  <si>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</si>
  <si>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</si>
  <si>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</si>
  <si>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</si>
  <si>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</si>
  <si>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</si>
  <si>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</si>
  <si>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</si>
  <si>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</si>
  <si>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</si>
  <si>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</si>
  <si>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</si>
  <si>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</si>
  <si>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</si>
  <si>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</si>
  <si>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</si>
  <si>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</si>
  <si>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</si>
  <si>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</si>
  <si>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</si>
  <si>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</si>
  <si>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</si>
  <si>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</si>
  <si>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</si>
  <si>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</si>
  <si>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</si>
  <si>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</si>
  <si>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</si>
  <si>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</si>
  <si>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</si>
  <si>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</si>
  <si>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</si>
  <si>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</si>
  <si>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</si>
  <si>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</si>
  <si>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</si>
  <si>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</si>
  <si>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</si>
  <si>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</si>
  <si>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</si>
  <si>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</si>
  <si>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</si>
  <si>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</si>
  <si>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</si>
  <si>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</si>
  <si>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</si>
  <si>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</si>
  <si>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</si>
  <si>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</si>
  <si>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</si>
  <si>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</si>
  <si>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</si>
  <si>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</si>
  <si>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</si>
  <si>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</si>
  <si>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</si>
  <si>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</si>
  <si>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</si>
  <si>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</si>
  <si>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</si>
  <si>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</si>
  <si>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</si>
  <si>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</si>
  <si>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</si>
  <si>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</si>
  <si>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</si>
  <si>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</si>
  <si>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</si>
  <si>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</si>
  <si>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</si>
  <si>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</si>
  <si>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</si>
  <si>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</si>
  <si>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</si>
  <si>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</si>
  <si>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</si>
  <si>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</si>
  <si>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</si>
  <si>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</si>
  <si>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</si>
  <si>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</si>
  <si>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</si>
  <si>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</si>
  <si>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</si>
  <si>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</si>
  <si>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</si>
  <si>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</si>
  <si>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</si>
  <si>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</si>
  <si>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</si>
  <si>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</si>
  <si>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</si>
  <si>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</si>
  <si>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</si>
  <si>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</si>
  <si>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</si>
  <si>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</si>
  <si>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</si>
  <si>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</si>
  <si>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</si>
  <si>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</si>
  <si>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</si>
  <si>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</si>
  <si>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</si>
  <si>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</si>
  <si>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</si>
  <si>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</si>
  <si>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</si>
  <si>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</si>
  <si>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</si>
  <si>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</si>
  <si>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</si>
  <si>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</si>
  <si>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</si>
  <si>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</si>
  <si>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</si>
  <si>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</si>
  <si>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</si>
  <si>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</si>
  <si>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</si>
  <si>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</si>
  <si>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</si>
  <si>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</si>
  <si>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</si>
  <si>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</si>
  <si>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</si>
  <si>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</si>
  <si>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</si>
  <si>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</si>
  <si>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</si>
  <si>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</si>
  <si>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</si>
  <si>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</si>
  <si>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</si>
  <si>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</si>
  <si>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</si>
  <si>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</si>
  <si>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</si>
  <si>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</si>
  <si>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</si>
  <si>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</si>
  <si>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</si>
  <si>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</si>
  <si>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</si>
  <si>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</si>
  <si>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</si>
  <si>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</si>
  <si>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</si>
  <si>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</si>
  <si>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</si>
  <si>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</si>
  <si>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</si>
  <si>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</si>
  <si>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</si>
  <si>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</si>
  <si>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</si>
  <si>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</si>
  <si>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</si>
  <si>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</si>
  <si>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</si>
  <si>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</si>
  <si>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</si>
  <si>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</si>
  <si>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</si>
  <si>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</si>
  <si>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</si>
  <si>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</si>
  <si>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</si>
  <si>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</si>
  <si>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</si>
  <si>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</si>
  <si>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</si>
  <si>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</si>
  <si>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</si>
  <si>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</si>
  <si>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</si>
  <si>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</si>
  <si>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</si>
  <si>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</si>
  <si>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</si>
  <si>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</si>
  <si>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</si>
  <si>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</si>
  <si>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</si>
  <si>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</si>
  <si>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</si>
  <si>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</si>
  <si>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</si>
  <si>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</si>
  <si>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</si>
  <si>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</si>
  <si>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</si>
  <si>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</si>
  <si>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</si>
  <si>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</si>
  <si>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</si>
  <si>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</si>
  <si>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</si>
  <si>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</si>
  <si>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</si>
  <si>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</si>
  <si>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</si>
  <si>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</si>
  <si>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</si>
  <si>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</si>
  <si>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</si>
  <si>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</si>
  <si>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</si>
  <si>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</si>
  <si>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</si>
  <si>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</si>
  <si>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</si>
  <si>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</si>
  <si>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</si>
  <si>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</si>
  <si>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</si>
  <si>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</si>
  <si>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</si>
  <si>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</si>
  <si>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</si>
  <si>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</si>
  <si>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</si>
  <si>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</si>
  <si>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</si>
  <si>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</si>
  <si>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</si>
  <si>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</si>
  <si>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</si>
  <si>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</si>
  <si>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</si>
  <si>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</si>
  <si>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</si>
  <si>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</si>
  <si>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</si>
  <si>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</si>
  <si>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</si>
  <si>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</si>
  <si>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</si>
  <si>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</si>
  <si>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</si>
  <si>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</si>
  <si>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</si>
  <si>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</si>
  <si>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</si>
  <si>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</si>
  <si>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</si>
  <si>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</si>
  <si>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</si>
  <si>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</si>
  <si>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</si>
  <si>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</si>
  <si>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</si>
  <si>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</si>
  <si>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</si>
  <si>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</si>
  <si>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</si>
  <si>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</si>
  <si>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</si>
  <si>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</si>
  <si>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</si>
  <si>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</si>
  <si>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</si>
  <si>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</si>
  <si>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</si>
  <si>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</si>
  <si>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</si>
  <si>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</si>
  <si>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</si>
  <si>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</si>
  <si>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</si>
  <si>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</si>
  <si>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</si>
  <si>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</si>
  <si>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</si>
  <si>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</si>
  <si>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</si>
  <si>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</si>
  <si>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</si>
  <si>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</si>
  <si>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</si>
  <si>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</si>
  <si>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</si>
  <si>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</si>
  <si>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</si>
  <si>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</si>
  <si>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</si>
  <si>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</si>
  <si>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</si>
  <si>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</si>
  <si>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</si>
  <si>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</si>
  <si>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</si>
  <si>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</si>
  <si>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</si>
  <si>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</si>
  <si>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</si>
  <si>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</si>
  <si>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</si>
  <si>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</si>
  <si>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</si>
  <si>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</si>
  <si>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</si>
  <si>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</si>
  <si>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</si>
  <si>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</si>
  <si>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</si>
  <si>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</si>
  <si>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</si>
  <si>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</si>
  <si>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</si>
  <si>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</si>
  <si>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</si>
  <si>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</si>
  <si>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</si>
  <si>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</si>
  <si>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</si>
  <si>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</si>
  <si>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</si>
  <si>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</si>
  <si>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</si>
  <si>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</si>
  <si>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</si>
  <si>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</si>
  <si>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</si>
  <si>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</si>
  <si>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</si>
  <si>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</si>
  <si>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</si>
  <si>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</si>
  <si>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</si>
  <si>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</si>
  <si>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</si>
  <si>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</si>
  <si>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</si>
  <si>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</si>
  <si>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</si>
  <si>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</si>
  <si>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</si>
  <si>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</si>
  <si>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</si>
  <si>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</si>
  <si>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</si>
  <si>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</si>
  <si>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</si>
  <si>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</si>
  <si>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</si>
  <si>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</si>
  <si>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</si>
  <si>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</si>
  <si>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</si>
  <si>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</si>
  <si>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</si>
  <si>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</si>
  <si>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</si>
  <si>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</si>
  <si>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</si>
  <si>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</si>
  <si>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</si>
  <si>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</si>
  <si>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</si>
  <si>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</si>
  <si>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</si>
  <si>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</si>
  <si>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</si>
  <si>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</si>
  <si>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</si>
  <si>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</si>
  <si>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</si>
  <si>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</si>
  <si>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</si>
  <si>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</si>
  <si>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</si>
  <si>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</si>
  <si>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</si>
  <si>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</si>
  <si>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</si>
  <si>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</si>
  <si>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</si>
  <si>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</si>
  <si>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</si>
  <si>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</si>
  <si>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</si>
  <si>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</si>
  <si>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</si>
  <si>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</si>
  <si>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</si>
  <si>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</si>
  <si>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</si>
  <si>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</si>
  <si>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</si>
  <si>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</si>
  <si>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</si>
  <si>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</si>
  <si>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</si>
  <si>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</si>
  <si>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</si>
  <si>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</si>
  <si>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</si>
  <si>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</si>
  <si>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</si>
  <si>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</si>
  <si>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</si>
  <si>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</si>
  <si>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</si>
  <si>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</si>
  <si>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</si>
  <si>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</si>
  <si>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</si>
  <si>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</si>
  <si>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</si>
  <si>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</si>
  <si>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</si>
  <si>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</si>
  <si>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</si>
  <si>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</si>
  <si>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</si>
  <si>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</si>
  <si>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</si>
  <si>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</si>
  <si>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</si>
  <si>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</si>
  <si>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</si>
  <si>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</si>
  <si>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</si>
  <si>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</si>
  <si>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</si>
  <si>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</si>
  <si>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</si>
  <si>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</si>
  <si>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</si>
  <si>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</si>
  <si>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</si>
  <si>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</si>
  <si>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</si>
  <si>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</si>
  <si>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</si>
  <si>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</si>
  <si>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</si>
  <si>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</si>
  <si>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</si>
  <si>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</si>
  <si>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</si>
  <si>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</si>
  <si>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</si>
  <si>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</si>
  <si>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</si>
  <si>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</si>
  <si>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</si>
  <si>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</si>
  <si>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</si>
  <si>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</si>
  <si>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</si>
  <si>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</si>
  <si>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</si>
  <si>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</si>
  <si>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</si>
  <si>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</si>
  <si>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</si>
  <si>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</si>
  <si>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</si>
  <si>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</si>
  <si>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</si>
  <si>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</si>
  <si>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</si>
  <si>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</si>
  <si>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</si>
  <si>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</si>
  <si>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</si>
  <si>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</si>
  <si>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</si>
  <si>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</si>
  <si>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</si>
  <si>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</si>
  <si>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</si>
  <si>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</si>
  <si>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</si>
  <si>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</si>
  <si>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</si>
  <si>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</si>
  <si>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</si>
  <si>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</si>
  <si>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</si>
  <si>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</si>
  <si>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</si>
  <si>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</si>
  <si>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</si>
  <si>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</si>
  <si>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</si>
  <si>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</si>
  <si>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</si>
  <si>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</si>
  <si>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</si>
  <si>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</si>
  <si>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</si>
  <si>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</si>
  <si>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</si>
  <si>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</si>
  <si>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</si>
  <si>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</si>
  <si>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</si>
  <si>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</si>
  <si>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</si>
  <si>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</si>
  <si>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</si>
  <si>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</si>
  <si>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</si>
  <si>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</si>
  <si>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</si>
  <si>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</si>
  <si>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</si>
  <si>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</si>
  <si>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</si>
  <si>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</si>
  <si>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</si>
  <si>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</si>
  <si>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</si>
  <si>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</si>
  <si>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</si>
  <si>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</si>
  <si>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</si>
  <si>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</si>
  <si>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</si>
  <si>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</si>
  <si>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</si>
  <si>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</si>
  <si>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</si>
  <si>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</si>
  <si>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</si>
  <si>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</si>
  <si>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</si>
  <si>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</si>
  <si>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</si>
  <si>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</si>
  <si>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</si>
  <si>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</si>
  <si>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</si>
  <si>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</si>
  <si>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</si>
  <si>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</si>
  <si>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</si>
  <si>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</si>
  <si>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</si>
  <si>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</si>
  <si>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</si>
  <si>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</si>
  <si>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</si>
  <si>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</si>
  <si>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</si>
  <si>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</si>
  <si>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</si>
  <si>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</si>
  <si>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</si>
  <si>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</si>
  <si>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</si>
  <si>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</si>
  <si>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</si>
  <si>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</si>
  <si>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</si>
  <si>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</si>
  <si>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</si>
  <si>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</si>
  <si>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</si>
  <si>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</si>
  <si>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</si>
  <si>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</si>
  <si>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</si>
  <si>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</si>
  <si>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</si>
  <si>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</si>
  <si>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</si>
  <si>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</si>
  <si>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</si>
  <si>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</si>
  <si>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</si>
  <si>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</si>
  <si>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</si>
  <si>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</si>
  <si>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</si>
  <si>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</si>
  <si>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</si>
  <si>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</si>
  <si>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</si>
  <si>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</si>
  <si>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</si>
  <si>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</si>
  <si>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</si>
  <si>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</si>
  <si>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</si>
  <si>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</si>
  <si>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</si>
  <si>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</si>
  <si>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</si>
  <si>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</si>
  <si>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</si>
  <si>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</si>
  <si>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</si>
  <si>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</si>
  <si>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</si>
  <si>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</si>
  <si>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</si>
  <si>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</si>
  <si>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</si>
  <si>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</si>
  <si>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</si>
  <si>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</si>
  <si>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</si>
  <si>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</si>
  <si>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</si>
  <si>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</si>
  <si>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</si>
  <si>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</si>
  <si>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</si>
  <si>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</si>
  <si>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</si>
  <si>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</si>
  <si>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</si>
  <si>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</si>
  <si>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</si>
  <si>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</si>
  <si>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</si>
  <si>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</si>
  <si>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</si>
  <si>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</si>
  <si>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</si>
  <si>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</si>
  <si>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</si>
  <si>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</si>
  <si>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</si>
  <si>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</si>
  <si>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</si>
  <si>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</si>
  <si>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</si>
  <si>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</si>
  <si>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</si>
  <si>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</si>
  <si>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</si>
  <si>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</si>
  <si>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</si>
  <si>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</si>
  <si>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</si>
  <si>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</si>
  <si>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</si>
  <si>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</si>
  <si>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</si>
  <si>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</si>
  <si>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</si>
  <si>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</si>
  <si>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</si>
  <si>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</si>
  <si>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</si>
  <si>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</si>
  <si>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</si>
  <si>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</si>
  <si>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</si>
  <si>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</si>
  <si>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</si>
  <si>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</si>
  <si>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</si>
  <si>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</si>
  <si>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</si>
  <si>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</si>
  <si>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</si>
  <si>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</si>
  <si>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</si>
  <si>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</si>
  <si>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</si>
  <si>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</si>
  <si>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</si>
  <si>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</si>
  <si>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</si>
  <si>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</si>
  <si>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</si>
  <si>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</si>
  <si>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</si>
  <si>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</si>
  <si>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</si>
  <si>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</si>
  <si>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</si>
  <si>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</si>
  <si>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</si>
  <si>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</si>
  <si>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</si>
  <si>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</si>
  <si>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</si>
  <si>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</si>
  <si>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</si>
  <si>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</si>
  <si>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</si>
  <si>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</si>
  <si>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</si>
  <si>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</si>
  <si>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</si>
  <si>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</si>
  <si>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</si>
  <si>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</si>
  <si>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</si>
  <si>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</si>
  <si>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</si>
  <si>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</si>
  <si>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</si>
  <si>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</si>
  <si>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</si>
  <si>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</si>
  <si>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</si>
  <si>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</si>
  <si>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</si>
  <si>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</si>
  <si>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</si>
  <si>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</si>
  <si>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</si>
  <si>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</si>
  <si>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</si>
  <si>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</si>
  <si>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</si>
  <si>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</si>
  <si>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</si>
  <si>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</si>
  <si>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</si>
  <si>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</si>
  <si>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</si>
  <si>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</si>
  <si>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</si>
  <si>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</si>
  <si>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</si>
  <si>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</si>
  <si>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</si>
  <si>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</si>
  <si>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</si>
  <si>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</si>
  <si>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</si>
  <si>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</si>
  <si>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</si>
  <si>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</si>
  <si>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</si>
  <si>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</si>
  <si>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</si>
  <si>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</si>
  <si>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</si>
  <si>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</si>
  <si>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</si>
  <si>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</si>
  <si>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</si>
  <si>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</si>
  <si>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</si>
  <si>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</si>
  <si>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</si>
  <si>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</si>
  <si>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</si>
  <si>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</si>
  <si>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</si>
  <si>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</si>
  <si>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</si>
  <si>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</si>
  <si>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</si>
  <si>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</si>
  <si>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</si>
  <si>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</si>
  <si>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</si>
  <si>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</si>
  <si>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</si>
  <si>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</si>
  <si>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</si>
  <si>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</si>
  <si>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</si>
  <si>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</si>
  <si>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</si>
  <si>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</si>
  <si>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</si>
  <si>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</si>
  <si>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</si>
  <si>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</si>
  <si>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</si>
  <si>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</si>
  <si>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</si>
  <si>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</si>
  <si>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</si>
  <si>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</si>
  <si>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</si>
  <si>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</si>
  <si>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</si>
  <si>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</si>
  <si>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</si>
  <si>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</si>
  <si>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</si>
  <si>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</si>
  <si>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</si>
  <si>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</si>
  <si>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</si>
  <si>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</si>
  <si>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</si>
  <si>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</si>
  <si>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</si>
  <si>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</si>
  <si>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</si>
  <si>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</si>
  <si>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</si>
  <si>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</si>
  <si>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</si>
  <si>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</si>
  <si>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</si>
  <si>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</si>
  <si>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</si>
  <si>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</si>
  <si>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</si>
  <si>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</si>
  <si>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</si>
  <si>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</si>
  <si>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</si>
  <si>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</si>
  <si>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</si>
  <si>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</si>
  <si>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</si>
  <si>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</si>
  <si>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</si>
  <si>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</si>
  <si>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</si>
  <si>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</si>
  <si>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</si>
  <si>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</si>
  <si>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</si>
  <si>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</si>
  <si>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</si>
  <si>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</si>
  <si>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</si>
  <si>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</si>
  <si>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</si>
  <si>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</si>
  <si>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</si>
  <si>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</si>
  <si>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</si>
  <si>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</si>
  <si>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</si>
  <si>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</si>
  <si>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</si>
  <si>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</si>
  <si>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</si>
  <si>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</si>
  <si>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</si>
  <si>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</si>
  <si>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</si>
  <si>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</si>
  <si>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</si>
  <si>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</si>
  <si>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</si>
  <si>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</si>
  <si>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</si>
  <si>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</si>
  <si>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</si>
  <si>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</si>
  <si>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</si>
  <si>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</si>
  <si>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</si>
  <si>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</si>
  <si>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</si>
  <si>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</si>
  <si>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</si>
  <si>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</si>
  <si>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</si>
  <si>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</si>
  <si>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</si>
  <si>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</si>
  <si>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</si>
  <si>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</si>
  <si>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</si>
  <si>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</si>
  <si>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</si>
  <si>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</si>
  <si>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</si>
  <si>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</si>
  <si>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</si>
  <si>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</si>
  <si>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</si>
  <si>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</si>
  <si>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</si>
  <si>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</si>
  <si>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</si>
  <si>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</si>
  <si>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</si>
  <si>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</si>
  <si>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</si>
  <si>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</si>
  <si>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</si>
  <si>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</si>
  <si>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</si>
  <si>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</si>
  <si>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</si>
  <si>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</si>
  <si>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</si>
  <si>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</si>
  <si>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</si>
  <si>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</si>
  <si>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</si>
  <si>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</si>
  <si>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</si>
  <si>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</si>
  <si>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</si>
  <si>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</si>
  <si>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</si>
  <si>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</si>
  <si>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</si>
  <si>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</si>
  <si>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</si>
  <si>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</si>
  <si>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</si>
  <si>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</si>
  <si>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</si>
  <si>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</si>
  <si>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</si>
  <si>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</si>
  <si>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</si>
  <si>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</si>
  <si>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</si>
  <si>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</si>
  <si>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</si>
  <si>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</si>
  <si>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</si>
  <si>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</si>
  <si>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</si>
  <si>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</si>
  <si>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</si>
  <si>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</si>
  <si>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</si>
  <si>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</si>
  <si>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</si>
  <si>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</si>
  <si>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</si>
  <si>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</si>
  <si>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</si>
  <si>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</si>
  <si>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</si>
  <si>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</si>
  <si>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</si>
  <si>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</si>
  <si>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</si>
  <si>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</si>
  <si>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</si>
  <si>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</si>
  <si>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</si>
  <si>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</si>
  <si>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</si>
  <si>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</si>
  <si>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</si>
  <si>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</si>
  <si>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</si>
  <si>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</si>
  <si>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</si>
  <si>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</si>
  <si>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</si>
  <si>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</si>
  <si>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</si>
  <si>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</si>
  <si>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</si>
  <si>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</si>
  <si>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</si>
  <si>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</si>
  <si>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</si>
  <si>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</si>
  <si>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</si>
  <si>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</si>
  <si>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</si>
  <si>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</si>
  <si>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</si>
  <si>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</si>
  <si>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</si>
  <si>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</si>
  <si>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</si>
  <si>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</si>
  <si>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</si>
  <si>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</si>
  <si>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</si>
  <si>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</si>
  <si>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</si>
  <si>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</si>
  <si>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</si>
  <si>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</si>
  <si>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</si>
  <si>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</si>
  <si>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</si>
  <si>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</si>
  <si>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</si>
  <si>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</si>
  <si>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</si>
  <si>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</si>
  <si>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</si>
  <si>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</si>
  <si>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</si>
  <si>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</si>
  <si>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</si>
  <si>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</si>
  <si>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</si>
  <si>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</si>
  <si>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</si>
  <si>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</si>
  <si>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</si>
  <si>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</si>
  <si>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</si>
  <si>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</si>
  <si>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</si>
  <si>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</si>
  <si>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</si>
  <si>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</si>
  <si>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</si>
  <si>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</si>
  <si>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</si>
  <si>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</si>
  <si>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</si>
  <si>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</si>
  <si>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</si>
  <si>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</si>
  <si>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</si>
  <si>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</si>
  <si>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</si>
  <si>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</si>
  <si>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</si>
  <si>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</si>
  <si>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</si>
  <si>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</si>
  <si>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</si>
  <si>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</si>
  <si>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</si>
  <si>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</si>
  <si>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</si>
  <si>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</si>
  <si>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</si>
  <si>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</si>
  <si>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</si>
  <si>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</si>
  <si>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</si>
  <si>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</si>
  <si>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</si>
  <si>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</si>
  <si>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</si>
  <si>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</si>
  <si>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</si>
  <si>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</si>
  <si>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</si>
  <si>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</si>
  <si>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</si>
  <si>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</si>
  <si>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</si>
  <si>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</si>
  <si>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</si>
  <si>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</si>
  <si>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</si>
  <si>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</si>
  <si>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</si>
  <si>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</si>
  <si>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</si>
  <si>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</si>
  <si>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</si>
  <si>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</si>
  <si>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</si>
  <si>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</si>
  <si>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</si>
  <si>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</si>
  <si>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</si>
  <si>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</si>
  <si>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</si>
  <si>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</si>
  <si>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</si>
  <si>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</si>
  <si>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</si>
  <si>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</si>
  <si>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</si>
  <si>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</si>
  <si>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</si>
  <si>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</si>
  <si>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</si>
  <si>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</si>
  <si>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</si>
  <si>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</si>
  <si>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</si>
  <si>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</si>
  <si>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</si>
  <si>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</si>
  <si>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</si>
  <si>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</si>
  <si>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</si>
  <si>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</si>
  <si>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</si>
  <si>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</si>
  <si>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</si>
  <si>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</si>
  <si>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</si>
  <si>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</si>
  <si>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</si>
  <si>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</si>
  <si>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</si>
  <si>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</si>
  <si>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</si>
  <si>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</si>
  <si>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</si>
  <si>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</si>
  <si>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</si>
  <si>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</si>
  <si>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</si>
  <si>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</si>
  <si>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</si>
  <si>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</si>
  <si>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</si>
  <si>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</si>
  <si>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</si>
  <si>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</si>
  <si>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</si>
  <si>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</si>
  <si>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</si>
  <si>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</si>
  <si>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</si>
  <si>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</si>
  <si>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</si>
  <si>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</si>
  <si>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</si>
  <si>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</si>
  <si>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</si>
  <si>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</si>
  <si>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</si>
  <si>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</si>
  <si>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</si>
  <si>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</si>
  <si>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</si>
  <si>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</si>
  <si>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</si>
  <si>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</si>
  <si>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</si>
  <si>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</si>
  <si>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</si>
  <si>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</si>
  <si>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</si>
  <si>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</si>
  <si>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</si>
  <si>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</si>
  <si>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</si>
  <si>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</si>
  <si>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</si>
  <si>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</si>
  <si>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</si>
  <si>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</si>
  <si>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</si>
  <si>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</si>
  <si>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</si>
  <si>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</si>
  <si>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</si>
  <si>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</si>
  <si>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</si>
  <si>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</si>
  <si>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</si>
  <si>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</si>
  <si>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</si>
  <si>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</si>
  <si>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</si>
  <si>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</si>
  <si>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</si>
  <si>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</si>
  <si>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</si>
  <si>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</si>
  <si>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</si>
  <si>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</si>
  <si>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</si>
  <si>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</si>
  <si>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</si>
  <si>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</si>
  <si>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</si>
  <si>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</si>
  <si>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</si>
  <si>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</si>
  <si>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</si>
  <si>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</si>
  <si>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</si>
  <si>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</si>
  <si>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</si>
  <si>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</si>
  <si>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</si>
  <si>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</si>
  <si>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</si>
  <si>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</si>
  <si>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</si>
  <si>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</si>
  <si>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</si>
  <si>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</si>
  <si>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</si>
  <si>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</si>
  <si>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</si>
  <si>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</si>
  <si>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</si>
  <si>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</si>
  <si>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</si>
  <si>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</si>
  <si>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</si>
  <si>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</si>
  <si>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</si>
  <si>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</si>
  <si>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</si>
  <si>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</si>
  <si>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</si>
  <si>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</si>
  <si>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</si>
  <si>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</si>
  <si>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</si>
  <si>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</si>
  <si>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</si>
  <si>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</si>
  <si>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</si>
  <si>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</si>
  <si>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</si>
  <si>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</si>
  <si>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</si>
  <si>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</si>
  <si>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</si>
  <si>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</si>
  <si>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</si>
  <si>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</si>
  <si>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</si>
  <si>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</si>
  <si>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</si>
  <si>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</si>
  <si>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</si>
  <si>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</si>
  <si>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</si>
  <si>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</si>
  <si>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</si>
  <si>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</si>
  <si>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</si>
  <si>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</si>
  <si>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</si>
  <si>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</si>
  <si>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</si>
  <si>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</si>
  <si>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</si>
  <si>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</si>
  <si>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</si>
  <si>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</si>
  <si>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</si>
  <si>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</si>
  <si>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</si>
  <si>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</si>
  <si>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</si>
  <si>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</si>
  <si>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</si>
  <si>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</si>
  <si>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</si>
  <si>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</si>
  <si>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</si>
  <si>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</si>
  <si>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</si>
  <si>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</si>
  <si>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</si>
  <si>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</si>
  <si>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</si>
  <si>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</si>
  <si>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</si>
  <si>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</si>
  <si>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</si>
  <si>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</si>
  <si>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</si>
  <si>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</si>
  <si>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</si>
  <si>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</si>
  <si>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</si>
  <si>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</si>
  <si>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</si>
  <si>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</si>
  <si>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</si>
  <si>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</si>
  <si>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</si>
  <si>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</si>
  <si>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</si>
  <si>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</si>
  <si>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</si>
  <si>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</si>
  <si>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</si>
  <si>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</si>
  <si>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</si>
  <si>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</si>
  <si>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</si>
  <si>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</si>
  <si>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</si>
  <si>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</si>
  <si>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</si>
  <si>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</si>
  <si>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</si>
  <si>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</si>
  <si>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</si>
  <si>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</si>
  <si>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</si>
  <si>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</si>
  <si>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</si>
  <si>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</si>
  <si>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</si>
  <si>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</si>
  <si>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</si>
  <si>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</si>
  <si>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</si>
  <si>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</si>
  <si>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</si>
  <si>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</si>
  <si>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</si>
  <si>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</si>
  <si>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</si>
  <si>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</si>
  <si>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</si>
  <si>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</si>
  <si>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</si>
  <si>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</si>
  <si>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</si>
  <si>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</si>
  <si>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</si>
  <si>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</si>
  <si>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</si>
  <si>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</si>
  <si>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</si>
  <si>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</si>
  <si>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</si>
  <si>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</si>
  <si>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</si>
  <si>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</si>
  <si>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</si>
  <si>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</si>
  <si>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</si>
  <si>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</si>
  <si>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</si>
  <si>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</si>
  <si>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</si>
  <si>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</si>
  <si>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</si>
  <si>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</si>
  <si>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</si>
  <si>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</si>
  <si>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</si>
  <si>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</si>
  <si>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</si>
  <si>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</si>
  <si>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</si>
  <si>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</si>
  <si>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</si>
  <si>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</si>
  <si>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</si>
  <si>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</si>
  <si>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</si>
  <si>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</si>
  <si>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</si>
  <si>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</si>
  <si>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</si>
  <si>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</si>
  <si>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</si>
  <si>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</si>
  <si>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</si>
  <si>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</si>
  <si>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</si>
  <si>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</si>
  <si>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</si>
  <si>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</si>
  <si>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</si>
  <si>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</si>
  <si>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</si>
  <si>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</si>
  <si>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</si>
  <si>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</si>
  <si>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</si>
  <si>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</si>
  <si>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</si>
  <si>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</si>
  <si>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</si>
  <si>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</si>
  <si>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</si>
  <si>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</si>
  <si>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</si>
  <si>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</si>
  <si>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</si>
  <si>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</si>
  <si>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</si>
  <si>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</si>
  <si>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</si>
  <si>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</si>
  <si>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</si>
  <si>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</si>
  <si>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</si>
  <si>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</si>
  <si>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</si>
  <si>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</si>
  <si>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</si>
  <si>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</si>
  <si>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</si>
  <si>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</si>
  <si>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</si>
  <si>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</si>
  <si>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</si>
  <si>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</si>
  <si>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</si>
  <si>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</si>
  <si>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</si>
  <si>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</si>
  <si>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</si>
  <si>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</si>
  <si>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</si>
  <si>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</si>
  <si>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</si>
  <si>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</si>
  <si>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</si>
  <si>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</si>
  <si>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</si>
  <si>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</si>
  <si>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</si>
  <si>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</si>
  <si>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</si>
  <si>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</si>
  <si>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</si>
  <si>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</si>
  <si>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</si>
  <si>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</si>
  <si>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</si>
  <si>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</si>
  <si>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</si>
  <si>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</si>
  <si>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</si>
  <si>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</si>
  <si>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</si>
  <si>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</si>
  <si>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</si>
  <si>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</si>
  <si>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</si>
  <si>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</si>
  <si>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</si>
  <si>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</si>
  <si>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</si>
  <si>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</si>
  <si>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</si>
  <si>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</si>
  <si>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</si>
  <si>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</si>
  <si>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</si>
  <si>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</si>
  <si>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</si>
  <si>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</si>
  <si>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</si>
  <si>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</si>
  <si>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</si>
  <si>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</si>
  <si>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</si>
  <si>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</si>
  <si>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</si>
  <si>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</si>
  <si>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</si>
  <si>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</si>
  <si>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</si>
  <si>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</si>
  <si>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</si>
  <si>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</si>
  <si>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</si>
  <si>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</si>
  <si>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</si>
  <si>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</si>
  <si>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</si>
  <si>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</si>
  <si>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</si>
  <si>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</si>
  <si>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</si>
  <si>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</si>
  <si>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</si>
  <si>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</si>
  <si>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</si>
  <si>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</si>
  <si>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</si>
  <si>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</si>
  <si>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</si>
  <si>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</si>
  <si>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</si>
  <si>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</si>
  <si>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</si>
  <si>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</si>
  <si>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</si>
  <si>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</si>
  <si>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</si>
  <si>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</si>
  <si>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</si>
  <si>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</si>
  <si>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</si>
  <si>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</si>
  <si>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</si>
  <si>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</si>
  <si>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</si>
  <si>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</si>
  <si>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</si>
  <si>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</si>
  <si>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</si>
  <si>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</si>
  <si>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</si>
  <si>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</si>
  <si>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</si>
  <si>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</si>
  <si>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</si>
  <si>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</si>
  <si>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</si>
  <si>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</si>
  <si>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</si>
  <si>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</si>
  <si>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</si>
  <si>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</si>
  <si>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</si>
  <si>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</si>
  <si>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</si>
  <si>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</si>
  <si>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</si>
  <si>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</si>
  <si>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</si>
  <si>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</si>
  <si>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</si>
  <si>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</si>
  <si>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</si>
  <si>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</si>
  <si>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</si>
  <si>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</si>
  <si>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</si>
  <si>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</si>
  <si>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</si>
  <si>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</si>
  <si>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</si>
  <si>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</si>
  <si>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</si>
  <si>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</si>
  <si>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</si>
  <si>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</si>
  <si>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</si>
  <si>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</si>
  <si>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</si>
  <si>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</si>
  <si>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</si>
  <si>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</si>
  <si>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</si>
  <si>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</si>
  <si>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</si>
  <si>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</si>
  <si>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</si>
  <si>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</si>
  <si>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</si>
  <si>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</si>
  <si>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</si>
  <si>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</si>
  <si>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</si>
  <si>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</si>
  <si>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</si>
  <si>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</si>
  <si>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</si>
  <si>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</si>
  <si>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</si>
  <si>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</si>
  <si>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</si>
  <si>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</si>
  <si>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</si>
  <si>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</si>
  <si>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</si>
  <si>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</si>
  <si>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</si>
  <si>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</si>
  <si>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</si>
  <si>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</si>
  <si>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</si>
  <si>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</si>
  <si>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</si>
  <si>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</si>
  <si>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</si>
  <si>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</si>
  <si>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</si>
  <si>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</si>
  <si>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</si>
  <si>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</si>
  <si>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</si>
  <si>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</si>
  <si>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</si>
  <si>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</si>
  <si>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</si>
  <si>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</si>
  <si>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</si>
  <si>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</si>
  <si>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</si>
  <si>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</si>
  <si>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</si>
  <si>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</si>
  <si>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</si>
  <si>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</si>
  <si>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</si>
  <si>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</si>
  <si>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</si>
  <si>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</si>
  <si>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</si>
  <si>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</si>
  <si>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</si>
  <si>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</si>
  <si>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</si>
  <si>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</si>
  <si>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</si>
  <si>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</si>
  <si>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</si>
  <si>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</si>
  <si>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</si>
  <si>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</si>
  <si>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</si>
  <si>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</si>
  <si>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</si>
  <si>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</si>
  <si>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</si>
  <si>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</si>
  <si>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</si>
  <si>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</si>
  <si>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</si>
  <si>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</si>
  <si>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</si>
  <si>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</si>
  <si>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</si>
  <si>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</si>
  <si>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</si>
  <si>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</si>
  <si>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</si>
  <si>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</si>
  <si>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</si>
  <si>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</si>
  <si>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</si>
  <si>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</si>
  <si>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</si>
  <si>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</si>
  <si>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</si>
  <si>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</si>
  <si>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</si>
  <si>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</si>
  <si>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</si>
  <si>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</si>
  <si>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</si>
  <si>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</si>
  <si>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</si>
  <si>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</si>
  <si>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</si>
  <si>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</si>
  <si>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</si>
  <si>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</si>
  <si>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</si>
  <si>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</si>
  <si>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</si>
  <si>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</si>
  <si>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</si>
  <si>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</si>
  <si>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</si>
  <si>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</si>
  <si>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</si>
  <si>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</si>
  <si>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</si>
  <si>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</si>
  <si>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</si>
  <si>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</si>
  <si>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</si>
  <si>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</si>
  <si>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</si>
  <si>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</si>
  <si>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</si>
  <si>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</si>
  <si>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</si>
  <si>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</si>
  <si>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</si>
  <si>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</si>
  <si>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</si>
  <si>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</si>
  <si>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</si>
  <si>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</si>
  <si>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</si>
  <si>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</si>
  <si>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</si>
  <si>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</si>
  <si>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</si>
  <si>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</si>
  <si>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</si>
  <si>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</si>
  <si>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</si>
  <si>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</si>
  <si>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</si>
  <si>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</si>
  <si>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</si>
  <si>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</si>
  <si>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</si>
  <si>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</si>
  <si>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</si>
  <si>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</si>
  <si>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</si>
  <si>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</si>
  <si>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</si>
  <si>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</si>
  <si>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</si>
  <si>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</si>
  <si>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</si>
  <si>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</si>
  <si>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</si>
  <si>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</si>
  <si>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</si>
  <si>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</si>
  <si>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</si>
  <si>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</si>
  <si>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</si>
  <si>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</si>
  <si>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</si>
  <si>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</si>
  <si>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</si>
  <si>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</si>
  <si>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</si>
  <si>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</si>
  <si>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</si>
  <si>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</si>
  <si>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</si>
  <si>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</si>
  <si>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</si>
  <si>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</si>
  <si>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</si>
  <si>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</si>
  <si>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</si>
  <si>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</si>
  <si>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</si>
  <si>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</si>
  <si>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</si>
  <si>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</si>
  <si>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</si>
  <si>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</si>
  <si>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</si>
  <si>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</si>
  <si>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</si>
  <si>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</si>
  <si>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</si>
  <si>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</si>
  <si>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</si>
  <si>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</si>
  <si>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</si>
  <si>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</si>
  <si>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</si>
  <si>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</si>
  <si>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</si>
  <si>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</si>
  <si>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</si>
  <si>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</si>
  <si>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</si>
  <si>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</si>
  <si>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</si>
  <si>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</si>
  <si>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</si>
  <si>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</si>
  <si>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</si>
  <si>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</si>
  <si>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</si>
  <si>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</si>
  <si>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</si>
  <si>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</si>
  <si>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</si>
  <si>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</si>
  <si>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</si>
  <si>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</si>
  <si>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</si>
  <si>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</si>
  <si>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</si>
  <si>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</si>
  <si>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</si>
  <si>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</si>
  <si>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</si>
  <si>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</si>
  <si>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</si>
  <si>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</si>
  <si>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</si>
  <si>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</si>
  <si>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</si>
  <si>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</si>
  <si>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</si>
  <si>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</si>
  <si>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</si>
  <si>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</si>
  <si>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</si>
  <si>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</si>
  <si>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</si>
  <si>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</si>
  <si>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</si>
  <si>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</si>
  <si>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</si>
  <si>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</si>
  <si>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</si>
  <si>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</si>
  <si>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</si>
  <si>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</si>
  <si>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</si>
  <si>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</si>
  <si>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</si>
  <si>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</si>
  <si>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</si>
  <si>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</si>
  <si>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</si>
  <si>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</si>
  <si>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</si>
  <si>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</si>
  <si>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</si>
  <si>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</si>
  <si>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</si>
  <si>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</si>
  <si>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</si>
  <si>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</si>
  <si>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</si>
  <si>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</si>
  <si>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</si>
  <si>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</si>
  <si>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</si>
  <si>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</si>
  <si>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</si>
  <si>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</si>
  <si>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</si>
  <si>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</si>
  <si>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</si>
  <si>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</si>
  <si>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</si>
  <si>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</si>
  <si>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</si>
  <si>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</si>
  <si>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</si>
  <si>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</si>
  <si>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</si>
  <si>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</si>
  <si>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</si>
  <si>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</si>
  <si>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</si>
  <si>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</si>
  <si>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</si>
  <si>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</si>
  <si>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</si>
  <si>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</si>
  <si>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</si>
  <si>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</si>
  <si>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</si>
  <si>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</si>
  <si>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</si>
  <si>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</si>
  <si>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</si>
  <si>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</si>
  <si>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</si>
  <si>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</si>
  <si>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</si>
  <si>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</si>
  <si>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</si>
  <si>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</si>
  <si>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</si>
  <si>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</si>
  <si>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</si>
  <si>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</si>
  <si>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</si>
  <si>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</si>
  <si>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</si>
  <si>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</si>
  <si>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</si>
  <si>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</si>
  <si>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</si>
  <si>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</si>
  <si>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</si>
  <si>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</si>
  <si>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</si>
  <si>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</si>
  <si>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</si>
  <si>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</si>
  <si>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</si>
  <si>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</si>
  <si>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</si>
  <si>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</si>
  <si>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</si>
  <si>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</si>
  <si>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</si>
  <si>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</si>
  <si>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</si>
  <si>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</si>
  <si>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</si>
  <si>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</si>
  <si>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</si>
  <si>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</si>
  <si>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</si>
  <si>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</si>
  <si>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</si>
  <si>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</si>
  <si>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</si>
  <si>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</si>
  <si>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</si>
  <si>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</si>
  <si>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</si>
  <si>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</si>
  <si>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</si>
  <si>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</si>
  <si>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</si>
  <si>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</si>
  <si>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</si>
  <si>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</si>
  <si>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</si>
  <si>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</si>
  <si>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</si>
  <si>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</si>
  <si>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</si>
  <si>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</si>
  <si>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</si>
  <si>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</si>
  <si>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</si>
  <si>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</si>
  <si>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</si>
  <si>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</si>
  <si>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</si>
  <si>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</si>
  <si>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</si>
  <si>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</si>
  <si>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</si>
  <si>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</si>
  <si>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</si>
  <si>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</si>
  <si>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</si>
  <si>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</si>
  <si>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</si>
  <si>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</si>
  <si>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</si>
  <si>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</si>
  <si>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</si>
  <si>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</si>
  <si>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</si>
  <si>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</si>
  <si>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</si>
  <si>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</si>
  <si>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</si>
  <si>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</si>
  <si>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</si>
  <si>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</si>
  <si>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</si>
  <si>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</si>
  <si>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</si>
  <si>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</si>
  <si>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</si>
  <si>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</si>
  <si>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</si>
  <si>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</si>
  <si>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</si>
  <si>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</si>
  <si>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</si>
  <si>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</si>
  <si>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</si>
  <si>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</si>
  <si>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</si>
  <si>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</si>
  <si>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</si>
  <si>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</si>
  <si>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</si>
  <si>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</si>
  <si>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</si>
  <si>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</si>
  <si>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</si>
  <si>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</si>
  <si>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</si>
  <si>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</si>
  <si>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</si>
  <si>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</si>
  <si>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</si>
  <si>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</si>
  <si>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</si>
  <si>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</si>
  <si>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</si>
  <si>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</si>
  <si>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</si>
  <si>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</si>
  <si>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</si>
  <si>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</si>
  <si>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</si>
  <si>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</si>
  <si>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</si>
  <si>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</si>
  <si>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</si>
  <si>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</si>
  <si>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</si>
  <si>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</si>
  <si>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</si>
  <si>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</si>
  <si>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</si>
  <si>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</si>
  <si>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</si>
  <si>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</si>
  <si>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</si>
  <si>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</si>
  <si>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</si>
  <si>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</si>
  <si>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</si>
  <si>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</si>
  <si>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</si>
  <si>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</si>
  <si>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</si>
  <si>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</si>
  <si>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</si>
  <si>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</si>
  <si>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</si>
  <si>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</si>
  <si>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</si>
  <si>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</si>
  <si>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</si>
  <si>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</si>
  <si>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</si>
  <si>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</si>
  <si>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</si>
  <si>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</si>
  <si>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</si>
  <si>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</si>
  <si>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</si>
  <si>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</si>
  <si>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</si>
  <si>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</si>
  <si>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</si>
  <si>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</si>
  <si>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</si>
  <si>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</si>
  <si>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</si>
  <si>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</si>
  <si>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</si>
  <si>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</si>
  <si>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</si>
  <si>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</si>
  <si>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</si>
  <si>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</si>
  <si>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</si>
  <si>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</si>
  <si>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</si>
  <si>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</si>
  <si>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</si>
  <si>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</si>
  <si>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</si>
  <si>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</si>
  <si>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</si>
  <si>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</si>
  <si>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</si>
  <si>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</si>
  <si>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</si>
  <si>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</si>
  <si>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</si>
  <si>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</si>
  <si>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</si>
  <si>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</si>
  <si>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</si>
  <si>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</si>
  <si>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</si>
  <si>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</si>
  <si>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</si>
  <si>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</si>
  <si>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</si>
  <si>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</si>
  <si>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</si>
  <si>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</si>
  <si>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</si>
  <si>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</si>
  <si>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</si>
  <si>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</si>
  <si>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</si>
  <si>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</si>
  <si>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</si>
  <si>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</si>
  <si>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</si>
  <si>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</si>
  <si>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</si>
  <si>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</si>
  <si>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</si>
  <si>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</si>
  <si>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</si>
  <si>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</si>
  <si>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</si>
  <si>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</si>
  <si>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</si>
  <si>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</si>
  <si>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</si>
  <si>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</si>
  <si>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</si>
  <si>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</si>
  <si>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</si>
  <si>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</si>
  <si>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</si>
  <si>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</si>
  <si>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</si>
  <si>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</si>
  <si>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</si>
  <si>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</si>
  <si>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</si>
  <si>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</si>
  <si>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</si>
  <si>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</si>
  <si>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</si>
  <si>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</si>
  <si>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</si>
  <si>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</si>
  <si>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</si>
  <si>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</si>
  <si>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</si>
  <si>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</si>
  <si>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</si>
  <si>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</si>
  <si>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</si>
  <si>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</si>
  <si>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</si>
  <si>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</si>
  <si>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</si>
  <si>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</si>
  <si>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</si>
  <si>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</si>
  <si>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</si>
  <si>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</si>
  <si>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</si>
  <si>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</si>
  <si>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</si>
  <si>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</si>
  <si>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</si>
  <si>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</si>
  <si>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</si>
  <si>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</si>
  <si>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</si>
  <si>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</si>
  <si>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</si>
  <si>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</si>
  <si>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</si>
  <si>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</si>
  <si>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</si>
  <si>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</si>
  <si>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</si>
  <si>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</si>
  <si>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</si>
  <si>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</si>
  <si>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</si>
  <si>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</si>
  <si>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</si>
  <si>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</si>
  <si>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</si>
  <si>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</si>
  <si>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</si>
  <si>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</si>
  <si>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</si>
  <si>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</si>
  <si>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</si>
  <si>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</si>
  <si>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</si>
  <si>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</si>
  <si>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</si>
  <si>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</si>
  <si>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</si>
  <si>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</si>
  <si>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</si>
  <si>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</si>
  <si>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</si>
  <si>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</si>
  <si>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</si>
  <si>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</si>
  <si>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</si>
  <si>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</si>
  <si>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</si>
  <si>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</si>
  <si>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</si>
  <si>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</si>
  <si>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</si>
  <si>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</si>
  <si>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</si>
  <si>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</si>
  <si>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</si>
  <si>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</si>
  <si>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</si>
  <si>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</si>
  <si>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</si>
  <si>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</si>
  <si>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</si>
  <si>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</si>
  <si>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</si>
  <si>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</si>
  <si>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</si>
  <si>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</si>
  <si>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</si>
  <si>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</si>
  <si>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</si>
  <si>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</si>
  <si>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</si>
  <si>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</si>
  <si>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</si>
  <si>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</si>
  <si>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</si>
  <si>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</si>
  <si>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</si>
  <si>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</si>
  <si>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</si>
  <si>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</si>
  <si>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</si>
  <si>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</si>
  <si>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</si>
  <si>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</si>
  <si>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</si>
  <si>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</si>
  <si>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</si>
  <si>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</si>
  <si>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</si>
  <si>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</si>
  <si>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</si>
  <si>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</si>
  <si>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</si>
  <si>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</si>
  <si>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</si>
  <si>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</si>
  <si>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</si>
  <si>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</si>
  <si>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</si>
  <si>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</si>
  <si>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</si>
  <si>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</si>
  <si>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</si>
  <si>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</si>
  <si>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</si>
  <si>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</si>
  <si>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</si>
  <si>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</si>
  <si>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</si>
  <si>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</si>
  <si>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</si>
  <si>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</si>
  <si>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</si>
  <si>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</si>
  <si>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</si>
  <si>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</si>
  <si>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</si>
  <si>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</si>
  <si>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</si>
  <si>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</si>
  <si>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</si>
  <si>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</si>
  <si>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</si>
  <si>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</si>
  <si>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</si>
  <si>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</si>
  <si>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</si>
  <si>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</si>
  <si>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</si>
  <si>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</si>
  <si>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</si>
  <si>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</si>
  <si>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</si>
  <si>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</si>
  <si>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</si>
  <si>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</si>
  <si>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</si>
  <si>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</si>
  <si>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</si>
  <si>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</si>
  <si>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</si>
  <si>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</si>
  <si>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</si>
  <si>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</si>
  <si>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</si>
  <si>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</si>
  <si>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</si>
  <si>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</si>
  <si>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</si>
  <si>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</si>
  <si>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</si>
  <si>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</si>
  <si>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</si>
  <si>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</si>
  <si>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</si>
  <si>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</si>
  <si>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</si>
  <si>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</si>
  <si>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</si>
  <si>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</si>
  <si>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</si>
  <si>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</si>
  <si>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</si>
  <si>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</si>
  <si>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</si>
  <si>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</si>
  <si>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</si>
  <si>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</si>
  <si>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</si>
  <si>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</si>
  <si>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</si>
  <si>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</si>
  <si>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</si>
  <si>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</si>
  <si>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</si>
  <si>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</si>
  <si>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</si>
  <si>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</si>
  <si>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</si>
  <si>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</si>
  <si>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</si>
  <si>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</si>
  <si>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</si>
  <si>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</si>
  <si>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</si>
  <si>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</si>
  <si>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</si>
  <si>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</si>
  <si>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</si>
  <si>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</si>
  <si>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</si>
  <si>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</si>
  <si>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</si>
  <si>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</si>
  <si>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</si>
  <si>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</si>
  <si>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</si>
  <si>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</si>
  <si>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</si>
  <si>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</si>
  <si>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</si>
  <si>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</si>
  <si>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</si>
  <si>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</si>
  <si>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</si>
  <si>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</si>
  <si>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</si>
  <si>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</si>
  <si>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</si>
  <si>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</si>
  <si>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</si>
  <si>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</si>
  <si>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</si>
  <si>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</si>
  <si>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</si>
  <si>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</si>
  <si>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</si>
  <si>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</si>
  <si>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</si>
  <si>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</si>
  <si>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</si>
  <si>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</si>
  <si>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</si>
  <si>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</si>
  <si>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</si>
  <si>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</si>
  <si>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</si>
  <si>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</si>
  <si>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</si>
  <si>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</si>
  <si>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</si>
  <si>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</si>
  <si>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</si>
  <si>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</si>
  <si>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</si>
  <si>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</si>
  <si>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</si>
  <si>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</si>
  <si>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</si>
  <si>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</si>
  <si>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</si>
  <si>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</si>
  <si>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</si>
  <si>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</si>
  <si>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</si>
  <si>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</si>
  <si>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</si>
  <si>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</si>
  <si>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</si>
  <si>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</si>
  <si>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</si>
  <si>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</si>
  <si>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</si>
  <si>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</si>
  <si>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</si>
  <si>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</si>
  <si>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</si>
  <si>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</si>
  <si>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</si>
  <si>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</si>
  <si>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</si>
  <si>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</si>
  <si>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</si>
  <si>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</si>
  <si>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</si>
  <si>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</si>
  <si>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</si>
  <si>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</si>
  <si>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</si>
  <si>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</si>
  <si>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</si>
  <si>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</si>
  <si>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</si>
  <si>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</si>
  <si>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</si>
  <si>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</si>
  <si>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</si>
  <si>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</si>
  <si>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</si>
  <si>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</si>
  <si>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</si>
  <si>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</si>
  <si>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</si>
  <si>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</si>
  <si>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</si>
  <si>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</si>
  <si>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</si>
  <si>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</si>
  <si>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</si>
  <si>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</si>
  <si>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</si>
  <si>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</si>
  <si>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</si>
  <si>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</si>
  <si>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</si>
  <si>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</si>
  <si>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</si>
  <si>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</si>
  <si>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</si>
  <si>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</si>
  <si>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</si>
  <si>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</si>
  <si>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</si>
  <si>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</si>
  <si>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</si>
  <si>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</si>
  <si>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</si>
  <si>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</si>
  <si>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</si>
  <si>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</si>
  <si>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</si>
  <si>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</si>
  <si>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</si>
  <si>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</si>
  <si>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</si>
  <si>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</si>
  <si>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</si>
  <si>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</si>
  <si>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</si>
  <si>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</si>
  <si>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</si>
  <si>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</si>
  <si>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</si>
  <si>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</si>
  <si>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</si>
  <si>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</si>
  <si>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</si>
  <si>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</si>
  <si>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</si>
  <si>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</si>
  <si>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</si>
  <si>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</si>
  <si>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</si>
  <si>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</si>
  <si>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</si>
  <si>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</si>
  <si>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</si>
  <si>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</si>
  <si>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</si>
  <si>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</si>
  <si>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</si>
  <si>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</si>
  <si>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</si>
  <si>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</si>
  <si>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</si>
  <si>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</si>
  <si>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</si>
  <si>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</si>
  <si>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</si>
  <si>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</si>
  <si>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</si>
  <si>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</si>
  <si>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</si>
  <si>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</si>
  <si>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</si>
  <si>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</si>
  <si>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</si>
  <si>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</si>
  <si>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</si>
  <si>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</si>
  <si>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</si>
  <si>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</si>
  <si>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</si>
  <si>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</si>
  <si>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</si>
  <si>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</si>
  <si>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</si>
  <si>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</si>
  <si>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</si>
  <si>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</si>
  <si>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</si>
  <si>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</si>
  <si>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</si>
  <si>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</si>
  <si>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</si>
  <si>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</si>
  <si>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</si>
  <si>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</si>
  <si>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</si>
  <si>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</si>
  <si>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</si>
  <si>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</si>
  <si>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</si>
  <si>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</si>
  <si>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</si>
  <si>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</si>
  <si>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</si>
  <si>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</si>
  <si>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</si>
  <si>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</si>
  <si>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</si>
  <si>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</si>
  <si>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</si>
  <si>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</si>
  <si>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</si>
  <si>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</si>
  <si>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</si>
  <si>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</si>
  <si>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</si>
  <si>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</si>
  <si>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</si>
  <si>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</si>
  <si>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</si>
  <si>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</si>
  <si>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</si>
  <si>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</si>
  <si>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</si>
  <si>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</si>
  <si>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</si>
  <si>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</si>
  <si>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</si>
  <si>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</si>
  <si>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</si>
  <si>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</si>
  <si>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</si>
  <si>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</si>
  <si>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</si>
  <si>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</si>
  <si>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</si>
  <si>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</si>
  <si>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</si>
  <si>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</si>
  <si>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</si>
  <si>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</si>
  <si>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</si>
  <si>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</si>
  <si>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</si>
  <si>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</si>
  <si>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</si>
  <si>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</si>
  <si>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</si>
  <si>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</si>
  <si>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</si>
  <si>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</si>
  <si>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</si>
  <si>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</si>
  <si>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</si>
  <si>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</si>
  <si>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</si>
  <si>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</si>
  <si>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</si>
  <si>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</si>
  <si>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</si>
  <si>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</si>
  <si>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</si>
  <si>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</si>
  <si>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</si>
  <si>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</si>
  <si>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</si>
  <si>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</si>
  <si>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</si>
  <si>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</si>
  <si>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</si>
  <si>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</si>
  <si>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</si>
  <si>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</si>
  <si>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</si>
  <si>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</si>
  <si>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</si>
  <si>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</si>
  <si>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</si>
  <si>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</si>
  <si>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</si>
  <si>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</si>
  <si>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</si>
  <si>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</si>
  <si>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</si>
  <si>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</si>
  <si>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</si>
  <si>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</si>
  <si>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</si>
  <si>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</si>
  <si>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</si>
  <si>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</si>
  <si>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</si>
  <si>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</si>
  <si>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</si>
  <si>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</si>
  <si>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</si>
  <si>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</si>
  <si>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</si>
  <si>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</si>
  <si>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</si>
  <si>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</si>
  <si>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</si>
  <si>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</si>
  <si>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</si>
  <si>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</si>
  <si>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</si>
  <si>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</si>
  <si>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</si>
  <si>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</si>
  <si>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</si>
  <si>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</si>
  <si>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</si>
  <si>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</si>
  <si>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</si>
  <si>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</si>
  <si>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</si>
  <si>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</si>
  <si>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</si>
  <si>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</si>
  <si>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</si>
  <si>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</si>
  <si>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</si>
  <si>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</si>
  <si>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</si>
  <si>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</si>
  <si>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</si>
  <si>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</si>
  <si>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</si>
  <si>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</si>
  <si>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</si>
  <si>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</si>
  <si>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</si>
  <si>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</si>
  <si>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</si>
  <si>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</si>
  <si>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</si>
  <si>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</si>
  <si>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</si>
  <si>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</si>
  <si>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</si>
  <si>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</si>
  <si>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</si>
  <si>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</si>
  <si>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</si>
  <si>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</si>
  <si>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</si>
  <si>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</si>
  <si>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</si>
  <si>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</si>
  <si>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</si>
  <si>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</si>
  <si>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</si>
  <si>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</si>
  <si>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</si>
  <si>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</si>
  <si>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</si>
  <si>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</si>
  <si>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</si>
  <si>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</si>
  <si>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</si>
  <si>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</si>
  <si>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</si>
  <si>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</si>
  <si>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</si>
  <si>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</si>
  <si>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</si>
  <si>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</si>
  <si>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</si>
  <si>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</si>
  <si>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</si>
  <si>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</si>
  <si>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</si>
  <si>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</si>
  <si>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</si>
  <si>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</si>
  <si>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</si>
  <si>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</si>
  <si>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</si>
  <si>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</si>
  <si>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</si>
  <si>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</si>
  <si>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</si>
  <si>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</si>
  <si>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</si>
  <si>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</si>
  <si>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</si>
  <si>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</si>
  <si>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</si>
  <si>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</si>
  <si>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</si>
  <si>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</si>
  <si>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</si>
  <si>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</si>
  <si>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</si>
  <si>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</si>
  <si>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</si>
  <si>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</si>
  <si>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</si>
  <si>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</si>
  <si>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</si>
  <si>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</si>
  <si>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</si>
  <si>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</si>
  <si>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</si>
  <si>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</si>
  <si>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</si>
  <si>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</si>
  <si>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</si>
  <si>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</si>
  <si>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</si>
  <si>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</si>
  <si>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</si>
  <si>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</si>
  <si>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</si>
  <si>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</si>
  <si>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</si>
  <si>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</si>
  <si>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</si>
  <si>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</si>
  <si>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</si>
  <si>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</si>
  <si>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</si>
  <si>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</si>
  <si>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</si>
  <si>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</si>
  <si>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</si>
  <si>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</si>
  <si>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</si>
  <si>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</si>
  <si>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</si>
  <si>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</si>
  <si>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</si>
  <si>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</si>
  <si>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</si>
  <si>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</si>
  <si>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</si>
  <si>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</si>
  <si>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</si>
  <si>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</si>
  <si>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</si>
  <si>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</si>
  <si>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</si>
  <si>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</si>
  <si>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</si>
  <si>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</si>
  <si>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</si>
  <si>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</si>
  <si>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</si>
  <si>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</si>
  <si>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</si>
  <si>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</si>
  <si>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</si>
  <si>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</si>
  <si>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</si>
  <si>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</si>
  <si>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</si>
  <si>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</si>
  <si>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</si>
  <si>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</si>
  <si>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</si>
  <si>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</si>
  <si>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</si>
  <si>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</si>
  <si>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</si>
  <si>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</si>
  <si>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</si>
  <si>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</si>
  <si>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</si>
  <si>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</si>
  <si>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</si>
  <si>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</si>
  <si>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</si>
  <si>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</si>
  <si>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</si>
  <si>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</si>
  <si>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</si>
  <si>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</si>
  <si>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</si>
  <si>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</si>
  <si>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</si>
  <si>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</si>
  <si>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</si>
  <si>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</si>
  <si>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</si>
  <si>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</si>
  <si>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</si>
  <si>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</si>
  <si>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</si>
  <si>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</si>
  <si>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</si>
  <si>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</si>
  <si>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</si>
  <si>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</si>
  <si>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</si>
  <si>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</si>
  <si>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</si>
  <si>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</si>
  <si>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</si>
  <si>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</si>
  <si>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</si>
  <si>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</si>
  <si>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</si>
  <si>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</si>
  <si>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</si>
  <si>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</si>
  <si>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</si>
  <si>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</si>
  <si>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</si>
  <si>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</si>
  <si>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</si>
  <si>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</si>
  <si>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</si>
  <si>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</si>
  <si>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</si>
  <si>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</si>
  <si>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</si>
  <si>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</si>
  <si>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</si>
  <si>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</si>
  <si>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</si>
  <si>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</si>
  <si>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</si>
  <si>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</si>
  <si>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</si>
  <si>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</si>
  <si>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</si>
  <si>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</si>
  <si>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</si>
  <si>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</si>
  <si>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</si>
  <si>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</si>
  <si>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</si>
  <si>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</si>
  <si>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</si>
  <si>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</si>
  <si>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</si>
  <si>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</si>
  <si>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</si>
  <si>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</si>
  <si>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</si>
  <si>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</si>
  <si>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</si>
  <si>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</si>
  <si>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</si>
  <si>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</si>
  <si>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</si>
  <si>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</si>
  <si>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</si>
  <si>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</si>
  <si>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</si>
  <si>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</si>
  <si>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</si>
  <si>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</si>
  <si>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</si>
  <si>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</si>
  <si>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</si>
  <si>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</si>
  <si>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</si>
  <si>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</si>
  <si>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</si>
  <si>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</si>
  <si>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</si>
  <si>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</si>
  <si>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</si>
  <si>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</si>
  <si>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</si>
  <si>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</si>
  <si>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</si>
  <si>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</si>
  <si>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</si>
  <si>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</si>
  <si>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</si>
  <si>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</si>
  <si>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</si>
  <si>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</si>
  <si>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</si>
  <si>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</si>
  <si>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</si>
  <si>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</si>
  <si>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</si>
  <si>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</si>
  <si>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</si>
  <si>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</si>
  <si>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</si>
  <si>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</si>
  <si>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</si>
  <si>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</si>
  <si>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</si>
  <si>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</si>
  <si>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</si>
  <si>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</si>
  <si>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</si>
  <si>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</si>
  <si>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</si>
  <si>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</si>
  <si>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</si>
  <si>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</si>
  <si>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</si>
  <si>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</si>
  <si>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</si>
  <si>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</si>
  <si>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</si>
  <si>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</si>
  <si>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</si>
  <si>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</si>
  <si>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</si>
  <si>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</si>
  <si>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</si>
  <si>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</si>
  <si>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</si>
  <si>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</si>
  <si>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</si>
  <si>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</si>
  <si>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</si>
  <si>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</si>
  <si>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</si>
  <si>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</si>
  <si>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</si>
  <si>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</si>
  <si>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</si>
  <si>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</si>
  <si>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</si>
  <si>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</si>
  <si>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</si>
  <si>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</si>
  <si>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</si>
  <si>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</si>
  <si>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</si>
  <si>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</si>
  <si>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</si>
  <si>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</si>
  <si>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</si>
  <si>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</si>
  <si>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</si>
  <si>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</si>
  <si>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</si>
  <si>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</si>
  <si>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</si>
  <si>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</si>
  <si>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</si>
  <si>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</si>
  <si>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</si>
  <si>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</si>
  <si>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</si>
  <si>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</si>
  <si>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</si>
  <si>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</si>
  <si>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</si>
  <si>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</si>
  <si>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</si>
  <si>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</si>
  <si>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</si>
  <si>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</si>
  <si>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</si>
  <si>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</si>
  <si>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</si>
  <si>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</si>
  <si>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</si>
  <si>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</si>
  <si>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</si>
  <si>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</si>
  <si>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</si>
  <si>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</si>
  <si>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</si>
  <si>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</si>
  <si>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</si>
  <si>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</si>
  <si>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</si>
  <si>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</si>
  <si>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</si>
  <si>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</si>
  <si>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</si>
  <si>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</si>
  <si>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</si>
  <si>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</si>
  <si>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</si>
  <si>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</si>
  <si>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</si>
  <si>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</si>
  <si>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</si>
  <si>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</si>
  <si>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</si>
  <si>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</si>
  <si>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</si>
  <si>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</si>
  <si>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</si>
  <si>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</si>
  <si>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</si>
  <si>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</si>
  <si>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</si>
  <si>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</si>
  <si>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</si>
  <si>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</si>
  <si>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</si>
  <si>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</si>
  <si>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</si>
  <si>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</si>
  <si>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</si>
  <si>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</si>
  <si>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</si>
  <si>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</si>
  <si>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</si>
  <si>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</si>
  <si>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</si>
  <si>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</si>
  <si>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</si>
  <si>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</si>
  <si>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</si>
  <si>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</si>
  <si>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</si>
  <si>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</si>
  <si>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</si>
  <si>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</si>
  <si>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</si>
  <si>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</si>
  <si>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</si>
  <si>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</si>
  <si>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</si>
  <si>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</si>
  <si>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</si>
  <si>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</si>
  <si>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</si>
  <si>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</si>
  <si>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</si>
  <si>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</si>
  <si>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</si>
  <si>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</si>
  <si>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</si>
  <si>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</si>
  <si>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</si>
  <si>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</si>
  <si>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</si>
  <si>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</si>
  <si>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</si>
  <si>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</si>
  <si>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</si>
  <si>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</si>
  <si>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</si>
  <si>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</si>
  <si>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</si>
  <si>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</si>
  <si>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</si>
  <si>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</si>
  <si>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</si>
  <si>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</si>
  <si>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</si>
  <si>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</si>
  <si>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</si>
  <si>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v2.95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</si>
</sst>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3">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ser>
        <c:dLbls>
          <c:showLegendKey val="0"/>
          <c:showVal val="0"/>
          <c:showCatName val="0"/>
          <c:showSerName val="0"/>
          <c:showPercent val="0"/>
          <c:showBubbleSize val="0"/>
        </c:dLbls>
        <c:gapWidth val="0"/>
        <c:overlap val="100"/>
        <c:axId val="452234952"/>
        <c:axId val="452233776"/>
      </c:barChart>
      <c:catAx>
        <c:axId val="452234952"/>
        <c:scaling>
          <c:orientation val="minMax"/>
        </c:scaling>
        <c:delete val="1"/>
        <c:axPos val="b"/>
        <c:numFmt formatCode="General" sourceLinked="1"/>
        <c:majorTickMark val="none"/>
        <c:minorTickMark val="none"/>
        <c:tickLblPos val="nextTo"/>
        <c:crossAx val="452233776"/>
        <c:crosses val="autoZero"/>
        <c:auto val="1"/>
        <c:lblAlgn val="ctr"/>
        <c:lblOffset val="100"/>
        <c:noMultiLvlLbl val="0"/>
      </c:catAx>
      <c:valAx>
        <c:axId val="452233776"/>
        <c:scaling>
          <c:orientation val="minMax"/>
        </c:scaling>
        <c:delete val="1"/>
        <c:axPos val="l"/>
        <c:numFmt formatCode="0%" sourceLinked="1"/>
        <c:majorTickMark val="none"/>
        <c:minorTickMark val="none"/>
        <c:tickLblPos val="nextTo"/>
        <c:crossAx val="45223495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ser>
        <c:dLbls>
          <c:showLegendKey val="0"/>
          <c:showVal val="0"/>
          <c:showCatName val="0"/>
          <c:showSerName val="0"/>
          <c:showPercent val="0"/>
          <c:showBubbleSize val="0"/>
        </c:dLbls>
        <c:gapWidth val="0"/>
        <c:overlap val="100"/>
        <c:axId val="452240048"/>
        <c:axId val="452236520"/>
      </c:barChart>
      <c:catAx>
        <c:axId val="452240048"/>
        <c:scaling>
          <c:orientation val="minMax"/>
        </c:scaling>
        <c:delete val="1"/>
        <c:axPos val="b"/>
        <c:numFmt formatCode="General" sourceLinked="1"/>
        <c:majorTickMark val="none"/>
        <c:minorTickMark val="none"/>
        <c:tickLblPos val="nextTo"/>
        <c:crossAx val="452236520"/>
        <c:crosses val="autoZero"/>
        <c:auto val="1"/>
        <c:lblAlgn val="ctr"/>
        <c:lblOffset val="100"/>
        <c:noMultiLvlLbl val="0"/>
      </c:catAx>
      <c:valAx>
        <c:axId val="452236520"/>
        <c:scaling>
          <c:orientation val="minMax"/>
        </c:scaling>
        <c:delete val="1"/>
        <c:axPos val="l"/>
        <c:numFmt formatCode="0%" sourceLinked="1"/>
        <c:majorTickMark val="none"/>
        <c:minorTickMark val="none"/>
        <c:tickLblPos val="nextTo"/>
        <c:crossAx val="45224004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Entrées!$B$3</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Entrées!$C$3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ser>
        <c:dLbls>
          <c:showLegendKey val="0"/>
          <c:showVal val="0"/>
          <c:showCatName val="0"/>
          <c:showSerName val="0"/>
          <c:showPercent val="0"/>
          <c:showBubbleSize val="0"/>
        </c:dLbls>
        <c:gapWidth val="0"/>
        <c:overlap val="100"/>
        <c:axId val="452239264"/>
        <c:axId val="452235736"/>
      </c:barChart>
      <c:catAx>
        <c:axId val="452239264"/>
        <c:scaling>
          <c:orientation val="minMax"/>
        </c:scaling>
        <c:delete val="1"/>
        <c:axPos val="b"/>
        <c:numFmt formatCode="General" sourceLinked="1"/>
        <c:majorTickMark val="none"/>
        <c:minorTickMark val="none"/>
        <c:tickLblPos val="nextTo"/>
        <c:crossAx val="452235736"/>
        <c:crosses val="autoZero"/>
        <c:auto val="1"/>
        <c:lblAlgn val="ctr"/>
        <c:lblOffset val="100"/>
        <c:noMultiLvlLbl val="0"/>
      </c:catAx>
      <c:valAx>
        <c:axId val="452235736"/>
        <c:scaling>
          <c:orientation val="minMax"/>
        </c:scaling>
        <c:delete val="1"/>
        <c:axPos val="l"/>
        <c:numFmt formatCode="0%" sourceLinked="1"/>
        <c:majorTickMark val="none"/>
        <c:minorTickMark val="none"/>
        <c:tickLblPos val="nextTo"/>
        <c:crossAx val="45223926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52232600"/>
        <c:axId val="452228680"/>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ser>
        <c:dLbls>
          <c:showLegendKey val="0"/>
          <c:showVal val="0"/>
          <c:showCatName val="0"/>
          <c:showSerName val="0"/>
          <c:showPercent val="0"/>
          <c:showBubbleSize val="0"/>
        </c:dLbls>
        <c:axId val="452232600"/>
        <c:axId val="452228680"/>
      </c:scatterChart>
      <c:catAx>
        <c:axId val="452232600"/>
        <c:scaling>
          <c:orientation val="minMax"/>
        </c:scaling>
        <c:delete val="1"/>
        <c:axPos val="b"/>
        <c:numFmt formatCode="General" sourceLinked="1"/>
        <c:majorTickMark val="none"/>
        <c:minorTickMark val="none"/>
        <c:tickLblPos val="nextTo"/>
        <c:crossAx val="452228680"/>
        <c:crosses val="autoZero"/>
        <c:auto val="1"/>
        <c:lblAlgn val="ctr"/>
        <c:lblOffset val="100"/>
        <c:noMultiLvlLbl val="0"/>
      </c:catAx>
      <c:valAx>
        <c:axId val="452228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223260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Aperçu_BE!$S$64:$T$64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Aperçu_BE!$S$64:$T$64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Aperçu_BE!$S$64:$T$64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Aperçu_BE!$M$88</c:f>
              <c:strCache>
                <c:ptCount val="1"/>
                <c:pt idx="0">
                  <c:v>Chauffage</c:v>
                </c:pt>
              </c:strCache>
            </c:strRef>
          </c:tx>
          <c:spPr>
            <a:solidFill>
              <a:srgbClr val="EA6E76"/>
            </a:solidFill>
            <a:ln>
              <a:noFill/>
            </a:ln>
            <a:effectLst/>
          </c:spPr>
          <c:invertIfNegative val="0"/>
          <c:cat>
            <c:numRef>
              <c:f>Aperçu_BE!$S$64:$T$64</c:f>
              <c:numCache>
                <c:formatCode>General</c:formatCode>
                <c:ptCount val="2"/>
                <c:pt idx="0">
                  <c:v>1</c:v>
                </c:pt>
                <c:pt idx="1">
                  <c:v>3</c:v>
                </c:pt>
              </c:numCache>
            </c:numRef>
          </c:cat>
          <c:val>
            <c:numRef>
              <c:f>Aperçu_BE!$Q$86:$S$86</c:f>
              <c:numCache>
                <c:formatCode>0.0</c:formatCode>
                <c:ptCount val="3"/>
                <c:pt idx="0">
                  <c:v>0</c:v>
                </c:pt>
                <c:pt idx="1">
                  <c:v>0</c:v>
                </c:pt>
                <c:pt idx="2" formatCode="General">
                  <c:v>0</c:v>
                </c:pt>
              </c:numCache>
            </c:numRef>
          </c:val>
        </c:ser>
        <c:ser>
          <c:idx val="3"/>
          <c:order val="10"/>
          <c:tx>
            <c:strRef>
              <c:f>Aperçu_BE!$M$49</c:f>
              <c:strCache>
                <c:ptCount val="1"/>
                <c:pt idx="0">
                  <c:v>Eau chaude</c:v>
                </c:pt>
              </c:strCache>
            </c:strRef>
          </c:tx>
          <c:spPr>
            <a:solidFill>
              <a:srgbClr val="81C7DC"/>
            </a:solidFill>
            <a:ln>
              <a:noFill/>
            </a:ln>
            <a:effectLst/>
          </c:spPr>
          <c:invertIfNegative val="0"/>
          <c:cat>
            <c:numRef>
              <c:f>Aperçu_BE!$S$64:$T$64</c:f>
              <c:numCache>
                <c:formatCode>General</c:formatCode>
                <c:ptCount val="2"/>
                <c:pt idx="0">
                  <c:v>1</c:v>
                </c:pt>
                <c:pt idx="1">
                  <c:v>3</c:v>
                </c:pt>
              </c:numCache>
            </c:numRef>
          </c:cat>
          <c:val>
            <c:numRef>
              <c:f>Aperçu_BE!$Q$87:$S$87</c:f>
              <c:numCache>
                <c:formatCode>0.0</c:formatCode>
                <c:ptCount val="3"/>
                <c:pt idx="0">
                  <c:v>0</c:v>
                </c:pt>
                <c:pt idx="1">
                  <c:v>0</c:v>
                </c:pt>
                <c:pt idx="2" formatCode="General">
                  <c:v>0</c:v>
                </c:pt>
              </c:numCache>
            </c:numRef>
          </c:val>
        </c:ser>
        <c:ser>
          <c:idx val="16"/>
          <c:order val="11"/>
          <c:tx>
            <c:strRef>
              <c:f>Aperçu_BE!$M$50</c:f>
              <c:strCache>
                <c:ptCount val="1"/>
                <c:pt idx="0">
                  <c:v>ventilation et climatisation</c:v>
                </c:pt>
              </c:strCache>
            </c:strRef>
          </c:tx>
          <c:spPr>
            <a:solidFill>
              <a:srgbClr val="AA8C8C"/>
            </a:solidFill>
            <a:ln>
              <a:noFill/>
            </a:ln>
            <a:effectLst/>
          </c:spPr>
          <c:invertIfNegative val="0"/>
          <c:cat>
            <c:numRef>
              <c:f>Aperçu_BE!$S$64:$T$64</c:f>
              <c:numCache>
                <c:formatCode>General</c:formatCode>
                <c:ptCount val="2"/>
                <c:pt idx="0">
                  <c:v>1</c:v>
                </c:pt>
                <c:pt idx="1">
                  <c:v>3</c:v>
                </c:pt>
              </c:numCache>
            </c:numRef>
          </c:cat>
          <c:val>
            <c:numRef>
              <c:f>Aperçu_BE!$Q$88:$S$88</c:f>
              <c:numCache>
                <c:formatCode>0.0</c:formatCode>
                <c:ptCount val="3"/>
                <c:pt idx="0">
                  <c:v>0</c:v>
                </c:pt>
                <c:pt idx="1">
                  <c:v>0</c:v>
                </c:pt>
                <c:pt idx="2" formatCode="General">
                  <c:v>0</c:v>
                </c:pt>
              </c:numCache>
            </c:numRef>
          </c:val>
        </c:ser>
        <c:ser>
          <c:idx val="17"/>
          <c:order val="12"/>
          <c:tx>
            <c:strRef>
              <c:f>Aperçu_BE!$M$51</c:f>
              <c:strCache>
                <c:ptCount val="1"/>
                <c:pt idx="0">
                  <c:v>Electricité d'habitation</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Aperçu_BE!$Q$49:$S$49</c:f>
              <c:numCache>
                <c:formatCode>0.0</c:formatCode>
                <c:ptCount val="3"/>
                <c:pt idx="0">
                  <c:v>0</c:v>
                </c:pt>
                <c:pt idx="1">
                  <c:v>0</c:v>
                </c:pt>
                <c:pt idx="2" formatCode="General">
                  <c:v>0</c:v>
                </c:pt>
              </c:numCache>
            </c:numRef>
          </c:val>
        </c:ser>
        <c:ser>
          <c:idx val="18"/>
          <c:order val="13"/>
          <c:tx>
            <c:strRef>
              <c:f>Aperçu_BE!$M$52</c:f>
              <c:strCache>
                <c:ptCount val="1"/>
                <c:pt idx="0">
                  <c:v>Eclairage</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Aperçu_BE!$Q$50:$S$50</c:f>
              <c:numCache>
                <c:formatCode>0.0</c:formatCode>
                <c:ptCount val="3"/>
                <c:pt idx="0">
                  <c:v>0</c:v>
                </c:pt>
                <c:pt idx="1">
                  <c:v>0</c:v>
                </c:pt>
                <c:pt idx="2" formatCode="General">
                  <c:v>0</c:v>
                </c:pt>
              </c:numCache>
            </c:numRef>
          </c:val>
        </c:ser>
        <c:ser>
          <c:idx val="19"/>
          <c:order val="14"/>
          <c:tx>
            <c:strRef>
              <c:f>Aperçu_BE!$M$53</c:f>
              <c:strCache>
                <c:ptCount val="1"/>
                <c:pt idx="0">
                  <c:v>Appareils</c:v>
                </c:pt>
              </c:strCache>
            </c:strRef>
          </c:tx>
          <c:spPr>
            <a:solidFill>
              <a:srgbClr val="7F7F7F"/>
            </a:solidFill>
            <a:ln>
              <a:noFill/>
            </a:ln>
            <a:effectLst/>
          </c:spPr>
          <c:invertIfNegative val="0"/>
          <c:cat>
            <c:numRef>
              <c:f>Aperçu_BE!$S$64:$T$64</c:f>
              <c:numCache>
                <c:formatCode>General</c:formatCode>
                <c:ptCount val="2"/>
                <c:pt idx="0">
                  <c:v>1</c:v>
                </c:pt>
                <c:pt idx="1">
                  <c:v>3</c:v>
                </c:pt>
              </c:numCache>
            </c:numRef>
          </c:cat>
          <c:val>
            <c:numRef>
              <c:f>Aperçu_BE!$Q$51:$S$51</c:f>
              <c:numCache>
                <c:formatCode>0.0</c:formatCode>
                <c:ptCount val="3"/>
                <c:pt idx="0">
                  <c:v>0</c:v>
                </c:pt>
                <c:pt idx="1">
                  <c:v>0</c:v>
                </c:pt>
                <c:pt idx="2" formatCode="General">
                  <c:v>0</c:v>
                </c:pt>
              </c:numCache>
            </c:numRef>
          </c:val>
        </c:ser>
        <c:ser>
          <c:idx val="20"/>
          <c:order val="15"/>
          <c:tx>
            <c:strRef>
              <c:f>Aperçu_BE!$M$54</c:f>
              <c:strCache>
                <c:ptCount val="1"/>
                <c:pt idx="0">
                  <c:v>Installations techn. du bâtiment</c:v>
                </c:pt>
              </c:strCache>
            </c:strRef>
          </c:tx>
          <c:spPr>
            <a:solidFill>
              <a:srgbClr val="9CB4BB"/>
            </a:solidFill>
            <a:ln>
              <a:noFill/>
            </a:ln>
            <a:effectLst/>
          </c:spPr>
          <c:invertIfNegative val="0"/>
          <c:cat>
            <c:numRef>
              <c:f>Aperçu_BE!$S$64:$T$64</c:f>
              <c:numCache>
                <c:formatCode>General</c:formatCode>
                <c:ptCount val="2"/>
                <c:pt idx="0">
                  <c:v>1</c:v>
                </c:pt>
                <c:pt idx="1">
                  <c:v>3</c:v>
                </c:pt>
              </c:numCache>
            </c:numRef>
          </c:cat>
          <c:val>
            <c:numRef>
              <c:f>Aperçu_BE!$Q$52:$S$52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Aperçu_BE!$S$64:$T$64</c:f>
              <c:numCache>
                <c:formatCode>General</c:formatCode>
                <c:ptCount val="2"/>
                <c:pt idx="0">
                  <c:v>1</c:v>
                </c:pt>
                <c:pt idx="1">
                  <c:v>3</c:v>
                </c:pt>
              </c:numCache>
            </c:numRef>
          </c:cat>
          <c:val>
            <c:numRef>
              <c:f>Aperçu_BE!$Q$82:$S$82</c:f>
              <c:numCache>
                <c:formatCode>General</c:formatCode>
                <c:ptCount val="3"/>
                <c:pt idx="0">
                  <c:v>0</c:v>
                </c:pt>
                <c:pt idx="1">
                  <c:v>0</c:v>
                </c:pt>
                <c:pt idx="2" formatCode="0.0">
                  <c:v>0</c:v>
                </c:pt>
              </c:numCache>
            </c:numRef>
          </c:val>
        </c:ser>
        <c:ser>
          <c:idx val="15"/>
          <c:order val="17"/>
          <c:tx>
            <c:strRef>
              <c:f>Aperçu_BE!$M$61</c:f>
              <c:strCache>
                <c:ptCount val="1"/>
                <c:pt idx="0">
                  <c:v>Électricité non pris en compte</c:v>
                </c:pt>
              </c:strCache>
            </c:strRef>
          </c:tx>
          <c:spPr>
            <a:pattFill prst="wdUpDiag">
              <a:fgClr>
                <a:srgbClr val="F9EA85"/>
              </a:fgClr>
              <a:bgClr>
                <a:schemeClr val="bg1"/>
              </a:bgClr>
            </a:pattFill>
            <a:ln>
              <a:noFill/>
            </a:ln>
            <a:effectLst/>
          </c:spPr>
          <c:invertIfNegative val="0"/>
          <c:cat>
            <c:numRef>
              <c:f>Aperçu_BE!$S$64:$T$64</c:f>
              <c:numCache>
                <c:formatCode>General</c:formatCode>
                <c:ptCount val="2"/>
                <c:pt idx="0">
                  <c:v>1</c:v>
                </c:pt>
                <c:pt idx="1">
                  <c:v>3</c:v>
                </c:pt>
              </c:numCache>
            </c:numRef>
          </c:cat>
          <c:val>
            <c:numRef>
              <c:f>Aperçu_BE!$Q$83:$S$83</c:f>
              <c:numCache>
                <c:formatCode>General</c:formatCode>
                <c:ptCount val="3"/>
                <c:pt idx="0">
                  <c:v>0</c:v>
                </c:pt>
                <c:pt idx="1">
                  <c:v>0</c:v>
                </c:pt>
                <c:pt idx="2" formatCode="0.0">
                  <c:v>0</c:v>
                </c:pt>
              </c:numCache>
            </c:numRef>
          </c:val>
        </c:ser>
        <c:ser>
          <c:idx val="1"/>
          <c:order val="18"/>
          <c:tx>
            <c:strRef>
              <c:f>Aperçu_BE!$M$59</c:f>
              <c:strCache>
                <c:ptCount val="1"/>
                <c:pt idx="0">
                  <c:v>Électricité part injectée</c:v>
                </c:pt>
              </c:strCache>
            </c:strRef>
          </c:tx>
          <c:spPr>
            <a:solidFill>
              <a:srgbClr val="F9EA85"/>
            </a:solidFill>
            <a:ln>
              <a:noFill/>
            </a:ln>
            <a:effectLst/>
          </c:spPr>
          <c:invertIfNegative val="0"/>
          <c:cat>
            <c:numRef>
              <c:f>Aperçu_BE!$S$64:$T$64</c:f>
              <c:numCache>
                <c:formatCode>General</c:formatCode>
                <c:ptCount val="2"/>
                <c:pt idx="0">
                  <c:v>1</c:v>
                </c:pt>
                <c:pt idx="1">
                  <c:v>3</c:v>
                </c:pt>
              </c:numCache>
            </c:numRef>
          </c:cat>
          <c:val>
            <c:numRef>
              <c:f>Aperçu_BE!$Q$84:$S$84</c:f>
              <c:numCache>
                <c:formatCode>General</c:formatCode>
                <c:ptCount val="3"/>
                <c:pt idx="0">
                  <c:v>0</c:v>
                </c:pt>
                <c:pt idx="1">
                  <c:v>0</c:v>
                </c:pt>
                <c:pt idx="2" formatCode="0.0">
                  <c:v>0</c:v>
                </c:pt>
              </c:numCache>
            </c:numRef>
          </c:val>
        </c:ser>
        <c:ser>
          <c:idx val="2"/>
          <c:order val="19"/>
          <c:tx>
            <c:strRef>
              <c:f>Aperçu_BE!$M$58</c:f>
              <c:strCache>
                <c:ptCount val="1"/>
                <c:pt idx="0">
                  <c:v>Électricité autoconsommation</c:v>
                </c:pt>
              </c:strCache>
            </c:strRef>
          </c:tx>
          <c:spPr>
            <a:solidFill>
              <a:srgbClr val="F4DC32"/>
            </a:solidFill>
            <a:ln>
              <a:noFill/>
            </a:ln>
            <a:effectLst/>
          </c:spPr>
          <c:invertIfNegative val="0"/>
          <c:cat>
            <c:numRef>
              <c:f>Aperçu_BE!$S$64:$T$64</c:f>
              <c:numCache>
                <c:formatCode>General</c:formatCode>
                <c:ptCount val="2"/>
                <c:pt idx="0">
                  <c:v>1</c:v>
                </c:pt>
                <c:pt idx="1">
                  <c:v>3</c:v>
                </c:pt>
              </c:numCache>
            </c:numRef>
          </c:cat>
          <c:val>
            <c:numRef>
              <c:f>Aperçu_BE!$Q$85:$S$85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52229072"/>
        <c:axId val="452229856"/>
      </c:barChart>
      <c:scatterChart>
        <c:scatterStyle val="lineMarker"/>
        <c:varyColors val="0"/>
        <c:ser>
          <c:idx val="12"/>
          <c:order val="7"/>
          <c:tx>
            <c:strRef>
              <c:f>Aperçu_BE!$M$66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Aperçu_BE!$S$61:$T$61</c:f>
              <c:numCache>
                <c:formatCode>General</c:formatCode>
                <c:ptCount val="2"/>
                <c:pt idx="0">
                  <c:v>1</c:v>
                </c:pt>
                <c:pt idx="1">
                  <c:v>3</c:v>
                </c:pt>
              </c:numCache>
            </c:numRef>
          </c:xVal>
          <c:yVal>
            <c:numRef>
              <c:f>Aperçu_BE!$S$66:$T$66</c:f>
              <c:numCache>
                <c:formatCode>0.0</c:formatCode>
                <c:ptCount val="2"/>
                <c:pt idx="0">
                  <c:v>0</c:v>
                </c:pt>
                <c:pt idx="1">
                  <c:v>0</c:v>
                </c:pt>
              </c:numCache>
            </c:numRef>
          </c:yVal>
          <c:smooth val="0"/>
        </c:ser>
        <c:ser>
          <c:idx val="11"/>
          <c:order val="8"/>
          <c:tx>
            <c:strRef>
              <c:f>Aperçu_BE!$M$65</c:f>
              <c:strCache>
                <c:ptCount val="1"/>
                <c:pt idx="0">
                  <c:v>EEGp</c:v>
                </c:pt>
              </c:strCache>
            </c:strRef>
          </c:tx>
          <c:spPr>
            <a:ln w="19050" cap="rnd">
              <a:solidFill>
                <a:schemeClr val="tx1"/>
              </a:solidFill>
              <a:round/>
            </a:ln>
            <a:effectLst/>
          </c:spPr>
          <c:marker>
            <c:symbol val="none"/>
          </c:marker>
          <c:xVal>
            <c:numRef>
              <c:f>Aperçu_BE!$S$64:$T$64</c:f>
              <c:numCache>
                <c:formatCode>General</c:formatCode>
                <c:ptCount val="2"/>
                <c:pt idx="0">
                  <c:v>1</c:v>
                </c:pt>
                <c:pt idx="1">
                  <c:v>3</c:v>
                </c:pt>
              </c:numCache>
            </c:numRef>
          </c:xVal>
          <c:yVal>
            <c:numRef>
              <c:f>Aperçu_BE!$S$65:$T$65</c:f>
              <c:numCache>
                <c:formatCode>0.0</c:formatCode>
                <c:ptCount val="2"/>
                <c:pt idx="0">
                  <c:v>0</c:v>
                </c:pt>
                <c:pt idx="1">
                  <c:v>0</c:v>
                </c:pt>
              </c:numCache>
            </c:numRef>
          </c:yVal>
          <c:smooth val="0"/>
        </c:ser>
        <c:dLbls>
          <c:showLegendKey val="0"/>
          <c:showVal val="0"/>
          <c:showCatName val="0"/>
          <c:showSerName val="0"/>
          <c:showPercent val="0"/>
          <c:showBubbleSize val="0"/>
        </c:dLbls>
        <c:axId val="452229072"/>
        <c:axId val="452229856"/>
      </c:scatterChart>
      <c:catAx>
        <c:axId val="452229072"/>
        <c:scaling>
          <c:orientation val="minMax"/>
        </c:scaling>
        <c:delete val="1"/>
        <c:axPos val="b"/>
        <c:numFmt formatCode="General" sourceLinked="1"/>
        <c:majorTickMark val="none"/>
        <c:minorTickMark val="none"/>
        <c:tickLblPos val="nextTo"/>
        <c:crossAx val="452229856"/>
        <c:crosses val="autoZero"/>
        <c:auto val="1"/>
        <c:lblAlgn val="ctr"/>
        <c:lblOffset val="100"/>
        <c:noMultiLvlLbl val="0"/>
      </c:catAx>
      <c:valAx>
        <c:axId val="45222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2229072"/>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ser>
        <c:dLbls>
          <c:showLegendKey val="0"/>
          <c:showVal val="0"/>
          <c:showCatName val="0"/>
          <c:showSerName val="0"/>
          <c:showPercent val="0"/>
          <c:showBubbleSize val="0"/>
        </c:dLbls>
        <c:gapWidth val="0"/>
        <c:overlap val="100"/>
        <c:axId val="452238088"/>
        <c:axId val="452231424"/>
      </c:barChart>
      <c:catAx>
        <c:axId val="452238088"/>
        <c:scaling>
          <c:orientation val="minMax"/>
        </c:scaling>
        <c:delete val="1"/>
        <c:axPos val="b"/>
        <c:numFmt formatCode="General" sourceLinked="1"/>
        <c:majorTickMark val="none"/>
        <c:minorTickMark val="none"/>
        <c:tickLblPos val="nextTo"/>
        <c:crossAx val="452231424"/>
        <c:crosses val="autoZero"/>
        <c:auto val="1"/>
        <c:lblAlgn val="ctr"/>
        <c:lblOffset val="100"/>
        <c:noMultiLvlLbl val="0"/>
      </c:catAx>
      <c:valAx>
        <c:axId val="452231424"/>
        <c:scaling>
          <c:orientation val="minMax"/>
        </c:scaling>
        <c:delete val="1"/>
        <c:axPos val="l"/>
        <c:numFmt formatCode="0%" sourceLinked="1"/>
        <c:majorTickMark val="none"/>
        <c:minorTickMark val="none"/>
        <c:tickLblPos val="nextTo"/>
        <c:crossAx val="45223808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52249568"/>
        <c:axId val="452248392"/>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52249568"/>
        <c:axId val="452248392"/>
      </c:scatterChart>
      <c:catAx>
        <c:axId val="45224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52248392"/>
        <c:crosses val="autoZero"/>
        <c:auto val="1"/>
        <c:lblAlgn val="ctr"/>
        <c:lblOffset val="100"/>
        <c:noMultiLvlLbl val="0"/>
      </c:catAx>
      <c:valAx>
        <c:axId val="452248392"/>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52249568"/>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4049856"/>
        <c:axId val="34049072"/>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4049856"/>
        <c:axId val="34049072"/>
      </c:scatterChart>
      <c:catAx>
        <c:axId val="3404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4049072"/>
        <c:crosses val="autoZero"/>
        <c:auto val="1"/>
        <c:lblAlgn val="ctr"/>
        <c:lblOffset val="100"/>
        <c:noMultiLvlLbl val="0"/>
      </c:catAx>
      <c:valAx>
        <c:axId val="3404907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4049856"/>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34050640"/>
        <c:axId val="34051032"/>
      </c:barChart>
      <c:catAx>
        <c:axId val="340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4051032"/>
        <c:crosses val="autoZero"/>
        <c:auto val="1"/>
        <c:lblAlgn val="ctr"/>
        <c:lblOffset val="100"/>
        <c:noMultiLvlLbl val="0"/>
      </c:catAx>
      <c:valAx>
        <c:axId val="34051032"/>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405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v2.95</v>
      </c>
      <c r="C1" s="3"/>
      <c r="D1" s="3"/>
      <c r="E1" s="340"/>
      <c r="F1" s="3"/>
      <c r="G1" s="3"/>
      <c r="H1" s="3"/>
      <c r="I1" s="158"/>
      <c r="J1" s="3"/>
      <c r="K1" s="7" t="str">
        <f>Uebersetzung!D5</f>
        <v>Formulaire EN-101 BE, v2.95</v>
      </c>
    </row>
    <row r="2" spans="1:20" ht="17.100000000000001" customHeight="1">
      <c r="B2" s="36"/>
      <c r="C2" s="820"/>
      <c r="D2" s="115"/>
      <c r="E2" s="36"/>
      <c r="F2" s="115"/>
      <c r="G2" s="2595" t="str">
        <f>Uebersetzung!D6</f>
        <v>Justificatif énergétique</v>
      </c>
      <c r="H2" s="2596"/>
      <c r="I2" s="2596"/>
      <c r="J2" s="2596"/>
      <c r="K2" s="2597"/>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0</v>
      </c>
      <c r="C3" s="143">
        <f>IF(OR(MUKEN,bern),0,1)</f>
        <v>0</v>
      </c>
      <c r="D3" s="2455">
        <f>IF(bern,1,0)</f>
        <v>1</v>
      </c>
      <c r="E3" s="2598" t="str">
        <f>IF(bern,"EN-101 BE","EN-101b")</f>
        <v>EN-101 BE</v>
      </c>
      <c r="F3" s="2599"/>
      <c r="G3" s="2600" t="str">
        <f>Uebersetzung!D7</f>
        <v>Besoin d'énergie</v>
      </c>
      <c r="H3" s="2601"/>
      <c r="I3" s="2601"/>
      <c r="J3" s="2601"/>
      <c r="K3" s="2602"/>
    </row>
    <row r="4" spans="1:20" ht="17.100000000000001" customHeight="1">
      <c r="B4" s="94"/>
      <c r="C4" s="60"/>
      <c r="D4" s="116"/>
      <c r="E4" s="94"/>
      <c r="F4" s="116"/>
      <c r="G4" s="2603">
        <f>IF(MUKEN,Uebersetzung!D8,)</f>
        <v>0</v>
      </c>
      <c r="H4" s="2604"/>
      <c r="I4" s="2604"/>
      <c r="J4" s="2604"/>
      <c r="K4" s="2605"/>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Nom du projet:</v>
      </c>
      <c r="C7" s="2612"/>
      <c r="D7" s="2612"/>
      <c r="E7" s="2612"/>
      <c r="F7" s="2612"/>
      <c r="G7" s="864" t="str">
        <f>Uebersetzung!D10</f>
        <v>N° cadastre:</v>
      </c>
      <c r="H7" s="966"/>
      <c r="I7" s="864" t="str">
        <f>IF(OR(MUKEN,bern),Uebersetzung!D11,Uebersetzung!D358)</f>
        <v>N° bâtiment:</v>
      </c>
      <c r="J7" s="2608"/>
      <c r="K7" s="2609"/>
      <c r="N7" s="2450"/>
      <c r="O7" s="2450"/>
      <c r="P7" s="2450"/>
      <c r="Q7" s="2450"/>
      <c r="R7" s="2450"/>
      <c r="S7" s="2450"/>
      <c r="T7" s="2450"/>
    </row>
    <row r="8" spans="1:20" ht="20.100000000000001" customHeight="1">
      <c r="A8" s="1518" t="s">
        <v>385</v>
      </c>
      <c r="B8" s="778" t="str">
        <f>IF(MUKEN,Uebersetzung!D13,Uebersetzung!D359)</f>
        <v>Adresse du bâtiment:</v>
      </c>
      <c r="C8" s="2613"/>
      <c r="D8" s="2613"/>
      <c r="E8" s="2613"/>
      <c r="F8" s="2613"/>
      <c r="G8" s="2613"/>
      <c r="H8" s="2613"/>
      <c r="I8" s="1013" t="str">
        <f>Uebersetzung!D117</f>
        <v>EGID:</v>
      </c>
      <c r="J8" s="2610"/>
      <c r="K8" s="2611"/>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Données sur le bâtiment</v>
      </c>
      <c r="C13" s="800"/>
      <c r="D13" s="772" t="str">
        <f>Uebersetzung!D15</f>
        <v xml:space="preserve">Altitude: </v>
      </c>
      <c r="E13" s="2618"/>
      <c r="F13" s="2618"/>
      <c r="G13" s="12" t="str">
        <f>Uebersetzung!D16</f>
        <v>m</v>
      </c>
      <c r="H13" s="776" t="str">
        <f>Uebersetzung!D12</f>
        <v>Canton:</v>
      </c>
      <c r="I13" s="2614" t="s">
        <v>560</v>
      </c>
      <c r="J13" s="2614"/>
      <c r="K13" s="2615"/>
      <c r="N13" s="2450"/>
      <c r="O13" s="2450"/>
      <c r="P13" s="2450"/>
      <c r="Q13" s="2450"/>
      <c r="R13" s="2450"/>
      <c r="S13" s="2450"/>
      <c r="T13" s="2450"/>
    </row>
    <row r="14" spans="1:20" ht="20.100000000000001" customHeight="1">
      <c r="A14" s="1518" t="s">
        <v>850</v>
      </c>
      <c r="B14" s="10" t="str">
        <f>Uebersetzung!D17</f>
        <v>(Selon la norme SIA 380/1)</v>
      </c>
      <c r="C14" s="17"/>
      <c r="D14" s="856" t="str">
        <f>Uebersetzung!D18</f>
        <v>Justificatif pour:</v>
      </c>
      <c r="E14" s="2616" t="s">
        <v>5118</v>
      </c>
      <c r="F14" s="2616"/>
      <c r="G14" s="2616"/>
      <c r="H14" s="15" t="str">
        <f>Uebersetzung!D28</f>
        <v>Station climat.</v>
      </c>
      <c r="I14" s="2616" t="s">
        <v>199</v>
      </c>
      <c r="J14" s="2616"/>
      <c r="K14" s="2617"/>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Somme</v>
      </c>
      <c r="N15" s="2450"/>
      <c r="O15" s="2450"/>
      <c r="P15" s="2450"/>
      <c r="Q15" s="2450"/>
      <c r="R15" s="2450"/>
      <c r="S15" s="2450"/>
      <c r="T15" s="2450"/>
    </row>
    <row r="16" spans="1:20" ht="21.95" customHeight="1">
      <c r="A16" s="1518" t="s">
        <v>390</v>
      </c>
      <c r="B16" s="2586" t="str">
        <f>Uebersetzung!D31</f>
        <v>Catégorie d'ouvrage</v>
      </c>
      <c r="C16" s="2587"/>
      <c r="D16" s="2606"/>
      <c r="E16" s="2607"/>
      <c r="F16" s="1294"/>
      <c r="G16" s="1294"/>
      <c r="H16" s="1294"/>
      <c r="I16" s="1294"/>
      <c r="J16" s="196"/>
      <c r="K16" s="197" t="str">
        <f>Uebersetzung!D35</f>
        <v>(moyenne)</v>
      </c>
      <c r="N16" s="2450"/>
      <c r="O16" s="2450"/>
      <c r="P16" s="2450"/>
      <c r="Q16" s="2450"/>
      <c r="R16" s="2450"/>
      <c r="S16" s="2450"/>
      <c r="T16" s="2450"/>
    </row>
    <row r="17" spans="1:21" ht="20.100000000000001" customHeight="1">
      <c r="A17" s="1518" t="s">
        <v>391</v>
      </c>
      <c r="B17" s="2588" t="str">
        <f>Uebersetzung!D32</f>
        <v>Avec eau chaude?</v>
      </c>
      <c r="C17" s="2589"/>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88" t="str">
        <f>Uebersetzung!D33</f>
        <v>Surface de référence énergétique SRE</v>
      </c>
      <c r="C19" s="2589"/>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88" t="str">
        <f>Uebersetzung!D36</f>
        <v>Nouvelle construction</v>
      </c>
      <c r="C21" s="2589"/>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21" t="str">
        <f>IF(bern,Uebersetzung!D410,Uebersetzung!D357)</f>
        <v>Nombre d’unités d’habitation</v>
      </c>
      <c r="C23" s="2622"/>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23" t="str">
        <f>IF(bern,Uebersetzung!D407,Uebersetzung!D37)</f>
        <v>Eclairage: valeur du projet SIA 387/4</v>
      </c>
      <c r="C24" s="2624"/>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25" t="str">
        <f>Uebersetzung!D38</f>
        <v>Installations de ventilation et de climatisation</v>
      </c>
      <c r="C27" s="2626"/>
      <c r="D27" s="2626"/>
      <c r="E27" s="2626"/>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Le débit d'air neuf thermiquement actif calculé en F45-I45 est à introduire dans le calcul des besoins de chaleur pour le chauffage (SIA 380/1)</v>
      </c>
      <c r="C28" s="17"/>
      <c r="D28" s="14"/>
      <c r="E28" s="14"/>
      <c r="F28" s="11"/>
      <c r="G28" s="11"/>
      <c r="H28" s="15"/>
      <c r="I28" s="16"/>
      <c r="J28" s="17"/>
      <c r="K28" s="18"/>
      <c r="N28" s="2450"/>
      <c r="O28" s="2450"/>
      <c r="P28" s="2450"/>
      <c r="Q28" s="2450"/>
      <c r="R28" s="2450"/>
      <c r="S28" s="2450"/>
      <c r="T28" s="2452"/>
      <c r="U28" s="143"/>
    </row>
    <row r="29" spans="1:21" ht="20.100000000000001" customHeight="1">
      <c r="B29" s="2627" t="str">
        <f>Uebersetzung!D40</f>
        <v>Données pour installation de ventilation standard</v>
      </c>
      <c r="C29" s="2628"/>
      <c r="D29" s="2628"/>
      <c r="E29" s="414" t="str">
        <f>B15</f>
        <v>Zone</v>
      </c>
      <c r="F29" s="180">
        <v>1</v>
      </c>
      <c r="G29" s="180">
        <v>2</v>
      </c>
      <c r="H29" s="180">
        <v>3</v>
      </c>
      <c r="I29" s="180">
        <v>4</v>
      </c>
      <c r="J29" s="19"/>
      <c r="K29" s="20" t="str">
        <f>K15</f>
        <v>Somme</v>
      </c>
      <c r="N29" s="2450"/>
      <c r="O29" s="2450"/>
      <c r="P29" s="2450"/>
      <c r="Q29" s="2450"/>
      <c r="R29" s="2450"/>
      <c r="S29" s="2450"/>
      <c r="T29" s="2452"/>
      <c r="U29" s="143"/>
    </row>
    <row r="30" spans="1:21" ht="20.100000000000001" customHeight="1">
      <c r="A30" s="1518" t="s">
        <v>397</v>
      </c>
      <c r="B30" s="2586" t="str">
        <f>Uebersetzung!D48</f>
        <v>Petite installation avec valeurs standard</v>
      </c>
      <c r="C30" s="2587"/>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88" t="str">
        <f>Uebersetzung!D41</f>
        <v>Type d'installation de ventilation standard</v>
      </c>
      <c r="C31" s="2589"/>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1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20"/>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88"/>
      <c r="C33" s="2589"/>
      <c r="D33" s="194"/>
      <c r="E33" s="194"/>
      <c r="F33" s="862"/>
      <c r="G33" s="862"/>
      <c r="H33" s="862"/>
      <c r="I33" s="862"/>
      <c r="J33" s="182"/>
      <c r="K33" s="187"/>
      <c r="N33" s="2450"/>
      <c r="O33" s="2450"/>
      <c r="P33" s="2450"/>
      <c r="Q33" s="2450"/>
      <c r="R33" s="2450"/>
      <c r="S33" s="2450"/>
      <c r="T33" s="2450"/>
    </row>
    <row r="34" spans="1:24" ht="21.95" customHeight="1">
      <c r="A34" s="1518" t="s">
        <v>401</v>
      </c>
      <c r="B34" s="2588" t="str">
        <f>Uebersetzung!D45</f>
        <v>Récupération de chaleur-Echangeur de chaleur</v>
      </c>
      <c r="C34" s="2633"/>
      <c r="D34" s="2589"/>
      <c r="E34" s="194"/>
      <c r="F34" s="1835"/>
      <c r="G34" s="1835"/>
      <c r="H34" s="1835"/>
      <c r="I34" s="1835"/>
      <c r="J34" s="182"/>
      <c r="K34" s="223"/>
      <c r="N34" s="2454"/>
      <c r="O34" s="2450"/>
      <c r="P34" s="2450"/>
      <c r="Q34" s="2450"/>
      <c r="R34" s="2450"/>
      <c r="S34" s="2450"/>
      <c r="T34" s="2450"/>
    </row>
    <row r="35" spans="1:24" ht="20.100000000000001" customHeight="1">
      <c r="A35" s="1518" t="s">
        <v>402</v>
      </c>
      <c r="B35" s="2588" t="str">
        <f>Uebersetzung!D47</f>
        <v>Entrainement de ventilateur avec</v>
      </c>
      <c r="C35" s="2589"/>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29" t="str">
        <f>Uebersetzung!D46</f>
        <v>Débit d'air nominal</v>
      </c>
      <c r="C37" s="2630"/>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631" t="str">
        <f>Uebersetzung!D53</f>
        <v>Calcul externe</v>
      </c>
      <c r="C38" s="2632"/>
      <c r="D38" s="918" t="str">
        <f>IF(OR(F27&lt;&gt;"",G27&lt;&gt;"",H27&lt;&gt;""),Uebersetzung!D116,"")</f>
        <v/>
      </c>
      <c r="E38" s="416"/>
      <c r="F38" s="416"/>
      <c r="G38" s="416"/>
      <c r="H38" s="416"/>
      <c r="I38" s="416"/>
      <c r="J38" s="416"/>
      <c r="K38" s="413"/>
      <c r="L38" s="155"/>
    </row>
    <row r="39" spans="1:24" ht="20.100000000000001" customHeight="1">
      <c r="A39" s="1518" t="s">
        <v>2814</v>
      </c>
      <c r="B39" s="2586" t="str">
        <f>Uebersetzung!D54</f>
        <v>Rafraîchissement et/ou humidification ?</v>
      </c>
      <c r="C39" s="2587"/>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634" t="str">
        <f>Uebersetzung!D49</f>
        <v>Débit d'air neuf thermiquement actif</v>
      </c>
      <c r="C40" s="2635"/>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637" t="str">
        <f>Uebersetzung!D50</f>
        <v>Besoins d'électricité pour la ventilation et la protection antigel</v>
      </c>
      <c r="C41" s="2638"/>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637" t="str">
        <f>Uebersetzung!D51</f>
        <v>Besoins d'électricité pour la climatisation et l'humidification</v>
      </c>
      <c r="C42" s="2638"/>
      <c r="D42" s="203" t="s">
        <v>704</v>
      </c>
      <c r="E42" s="201" t="s">
        <v>672</v>
      </c>
      <c r="F42" s="420"/>
      <c r="G42" s="421"/>
      <c r="H42" s="421"/>
      <c r="I42" s="421"/>
      <c r="J42" s="415"/>
      <c r="K42" s="991">
        <f>F42+IF(Zonen&gt;1,G42,0)+IF(Zonen&gt;2,H42,0)+IF(Zonen&gt;3,I42,0)</f>
        <v>0</v>
      </c>
      <c r="M42" s="456"/>
    </row>
    <row r="43" spans="1:24" ht="24" customHeight="1">
      <c r="A43" s="1518" t="s">
        <v>2818</v>
      </c>
      <c r="B43" s="2582" t="str">
        <f>Uebersetzung!D56</f>
        <v>Besoins d'électricité pour le transport du froid et pour les auxiliaires</v>
      </c>
      <c r="C43" s="2583"/>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avec débit d'air thermiquement actif</v>
      </c>
      <c r="C44" s="797"/>
      <c r="D44" s="412"/>
      <c r="E44" s="416"/>
      <c r="F44" s="416"/>
      <c r="G44" s="416"/>
      <c r="H44" s="416"/>
      <c r="I44" s="416"/>
      <c r="J44" s="416"/>
      <c r="K44" s="413"/>
      <c r="M44" s="456"/>
      <c r="N44" s="121"/>
    </row>
    <row r="45" spans="1:24" ht="20.100000000000001" customHeight="1">
      <c r="A45" s="1518" t="s">
        <v>2819</v>
      </c>
      <c r="B45" s="2586" t="str">
        <f>Uebersetzung!D58</f>
        <v>Débit d'air neuf thermiquement actif</v>
      </c>
      <c r="C45" s="2636"/>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2" t="str">
        <f>Uebersetzung!D60</f>
        <v>Besoins pour le chauffage effectif avec l'installation de ventilation</v>
      </c>
      <c r="C46" s="2583"/>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45804.647175925929</v>
      </c>
      <c r="D47" s="1642">
        <f>IF(AND(EBF&gt;0,Einheiten=1,K46&lt;30,K46&gt;0),1,)</f>
        <v>0</v>
      </c>
      <c r="E47" s="1642">
        <f>IF(AND(EBF&gt;0,Einheiten=1,K46&lt;30,K46&gt;0),Uebersetzung!D527,)</f>
        <v>0</v>
      </c>
      <c r="K47" s="779" t="str">
        <f>K62</f>
        <v xml:space="preserve"> /  /  /  /  /  / </v>
      </c>
      <c r="M47" s="456"/>
      <c r="N47" s="121"/>
    </row>
    <row r="48" spans="1:24" ht="15.95" customHeight="1">
      <c r="A48" s="1520"/>
      <c r="B48" s="868">
        <f>IF(MUKEN,Uebersetzung!D146,)</f>
        <v>0</v>
      </c>
      <c r="C48" s="869" t="str">
        <f>Uebersetzung!D147</f>
        <v>Justificatif établi par:</v>
      </c>
      <c r="D48" s="870"/>
      <c r="E48" s="870"/>
      <c r="F48" s="870"/>
      <c r="G48" s="869" t="str">
        <f>Uebersetzung!D148</f>
        <v>Contrôle du justificatif/Contrôle privé:</v>
      </c>
      <c r="H48" s="96"/>
      <c r="I48" s="871"/>
      <c r="J48" s="870"/>
      <c r="K48" s="870"/>
      <c r="M48" s="456"/>
      <c r="N48" s="96"/>
      <c r="O48" s="96"/>
      <c r="P48" s="96"/>
      <c r="Q48" s="605"/>
      <c r="R48" s="605"/>
      <c r="S48" s="605"/>
      <c r="T48" s="704"/>
      <c r="U48" s="605"/>
      <c r="V48" s="605"/>
      <c r="W48" s="605"/>
      <c r="X48" s="605"/>
    </row>
    <row r="49" spans="1:24" ht="6" customHeight="1">
      <c r="A49" s="1520"/>
      <c r="B49" s="2426"/>
      <c r="C49" s="2594"/>
      <c r="D49" s="2594"/>
      <c r="E49" s="2594"/>
      <c r="F49" s="2594"/>
      <c r="G49" s="2567"/>
      <c r="H49" s="2567"/>
      <c r="I49" s="2567"/>
      <c r="J49" s="2567"/>
      <c r="K49" s="2568"/>
      <c r="M49" s="609"/>
      <c r="N49" s="609"/>
      <c r="O49" s="609"/>
      <c r="P49" s="609"/>
    </row>
    <row r="50" spans="1:24" ht="20.100000000000001" customHeight="1">
      <c r="A50" s="1518" t="s">
        <v>5014</v>
      </c>
      <c r="B50" s="2430" t="str">
        <f>IF(MUKEN,Uebersetzung!D150,Uebersetzung!D463)</f>
        <v>Autoproduction d‘électricité</v>
      </c>
      <c r="C50" s="2592"/>
      <c r="D50" s="2593"/>
      <c r="E50" s="2593"/>
      <c r="F50" s="2593"/>
      <c r="G50" s="2574"/>
      <c r="H50" s="2574"/>
      <c r="I50" s="2574"/>
      <c r="J50" s="2574"/>
      <c r="K50" s="2575"/>
      <c r="M50" s="456"/>
      <c r="O50" s="605"/>
    </row>
    <row r="51" spans="1:24" ht="20.100000000000001" customHeight="1">
      <c r="A51" s="1518" t="s">
        <v>5018</v>
      </c>
      <c r="B51" s="3" t="str">
        <f>IF(MUKEN,Uebersetzung!D151,Uebersetzung!D382)&amp;IF(bern,", [kW]",)</f>
        <v>Puissance installée (sans CCF) [kWp], [kW]</v>
      </c>
      <c r="C51" s="2431"/>
      <c r="D51" s="2432"/>
      <c r="E51" s="2433"/>
      <c r="F51" s="2416"/>
      <c r="G51" s="2434"/>
      <c r="H51" s="2435"/>
      <c r="I51" s="2435"/>
      <c r="J51" s="2435"/>
      <c r="K51" s="2435"/>
      <c r="M51" s="456"/>
      <c r="O51" s="605"/>
    </row>
    <row r="52" spans="1:24" ht="20.100000000000001" customHeight="1">
      <c r="A52" s="1518" t="s">
        <v>5017</v>
      </c>
      <c r="B52" s="3" t="str">
        <f>IF(MUKEN,,Uebersetzung!D414)</f>
        <v>Puissance installée spécifique, par m2 SRE [W/m2] :</v>
      </c>
      <c r="C52" s="2417"/>
      <c r="D52" s="2418"/>
      <c r="E52" s="2411"/>
      <c r="F52" s="2419">
        <f>IF(MUKEN,,IF(bern,IF(EBF_neu&gt;0,F51*1000/EBF_neu,0),IF(EBF&gt;0,F51*1000/EBF,0)))</f>
        <v>0</v>
      </c>
      <c r="G52" s="2571" t="str">
        <f>IF(MUKEN,IF(bern,Uebersetzung!D704,""),Uebersetzung!D475)</f>
        <v>Capacité de la batterie [kWh]</v>
      </c>
      <c r="H52" s="2572"/>
      <c r="I52" s="2573"/>
      <c r="J52" s="2569"/>
      <c r="K52" s="2570"/>
      <c r="M52" s="456"/>
      <c r="O52" s="609"/>
    </row>
    <row r="53" spans="1:24" ht="20.100000000000001" customHeight="1">
      <c r="A53" s="1518" t="s">
        <v>5016</v>
      </c>
      <c r="B53" s="2420" t="str">
        <f>IF(MUKEN,"",Uebersetzung!D413)&amp;IF(bern,", [kWh/kW]","")</f>
        <v>Apport annuel spécifique [kWh/kWp], [kWh/kW]</v>
      </c>
      <c r="C53" s="2421"/>
      <c r="D53" s="2421"/>
      <c r="E53" s="2415">
        <f>IF(MUKEN,,IF(OR(F53="",F53=0),800,F53))</f>
        <v>800</v>
      </c>
      <c r="F53" s="2414"/>
      <c r="G53" s="3" t="str">
        <f>IF(MUKEN,,Uebersetzung!D381)</f>
        <v>Besoins personnels [%]</v>
      </c>
      <c r="H53" s="3"/>
      <c r="I53" s="2413">
        <f>MINERGIE!AI71</f>
        <v>0.2</v>
      </c>
      <c r="J53" s="2579"/>
      <c r="K53" s="2579"/>
      <c r="M53" s="456"/>
      <c r="O53" s="609"/>
    </row>
    <row r="54" spans="1:24" ht="20.100000000000001" customHeight="1">
      <c r="A54" s="1518" t="s">
        <v>5015</v>
      </c>
      <c r="B54" s="2441" t="str">
        <f>IF(MUKEN,,Uebersetzung!D452)</f>
        <v>Taille min. de l'installation d’autoproduction d’électricité [kWp]:</v>
      </c>
      <c r="C54" s="2422"/>
      <c r="D54" s="2423"/>
      <c r="E54" s="2412"/>
      <c r="F54" s="2424">
        <f>IF(MUKEN,,IF(MINERGIE!Z73,"0",MIN(30,MAX(MINERGIE!Z67*0.01+Justificatif!Q24*EBF/E53,0))))</f>
        <v>0</v>
      </c>
      <c r="G54" s="2425"/>
      <c r="H54" s="1336" t="str">
        <f>IF(MUKEN,,IF(bern,Uebersetzung!D705,Uebersetzung!D386))</f>
        <v>Contrôle du justificatif:</v>
      </c>
      <c r="I54" s="2576" t="str">
        <f>IF(wkk,Uebersetzung!D21,IF(EBF=0,"",IF(F54="0",Uebersetzung!$D$25,IF(ROUND(F51,2)&gt;=ROUND(F54,2),Uebersetzung!$D$25,Uebersetzung!$D$26))))</f>
        <v/>
      </c>
      <c r="J54" s="2577"/>
      <c r="K54" s="2578"/>
      <c r="M54" s="456"/>
      <c r="O54" s="605"/>
    </row>
    <row r="55" spans="1:24" ht="20.100000000000001" customHeight="1">
      <c r="A55" s="1518" t="s">
        <v>5023</v>
      </c>
      <c r="B55" s="3" t="str">
        <f>IF(OR(MUKEN,bern),IF(bern,Uebersetzung!D150,Uebersetzung!D152),"Minergie -A")</f>
        <v>Nom et adresse</v>
      </c>
      <c r="C55" s="2640"/>
      <c r="D55" s="2641"/>
      <c r="E55" s="2641"/>
      <c r="F55" s="2642"/>
      <c r="G55" s="2562"/>
      <c r="H55" s="2563"/>
      <c r="I55" s="2563"/>
      <c r="J55" s="2436"/>
      <c r="K55" s="2436"/>
      <c r="M55" s="456"/>
      <c r="O55" s="605"/>
    </row>
    <row r="56" spans="1:24" ht="20.100000000000001" customHeight="1">
      <c r="A56" s="1518" t="s">
        <v>5024</v>
      </c>
      <c r="B56" s="1342" t="str">
        <f>IF(minergiea,Uebersetzung!D455,"")</f>
        <v/>
      </c>
      <c r="C56" s="2438"/>
      <c r="D56" s="2438"/>
      <c r="E56" s="2438"/>
      <c r="F56" s="2437" t="str">
        <f>Uebersetzung!D701</f>
        <v xml:space="preserve">Besoins / Production PV [kWh] </v>
      </c>
      <c r="G56" s="2439" t="str">
        <f>IF(minergiea,MINERGIE!S15+MINERGIE!S18+MINERGIE!S44+MINERGIE!S56+MINERGIE!S59+MINERGIE!S68+MINERGIE!S94+MINERGIE!S100+MINERGIE!S19,"")</f>
        <v/>
      </c>
      <c r="H56" s="2440">
        <f>IF(EBF&gt;0,F51*E53/EBF-Justificatif!Q28,0)*2</f>
        <v>0</v>
      </c>
      <c r="I56" s="2564" t="str">
        <f>IF(EBF=0,"",IF(J52="0",Uebersetzung!$D$25,IF(ROUND(H56,1)&gt;=ROUND(G56,1),Uebersetzung!$D$25,Uebersetzung!$D$26)))</f>
        <v/>
      </c>
      <c r="J56" s="2565"/>
      <c r="K56" s="2566"/>
      <c r="M56" s="456"/>
      <c r="O56" s="605"/>
    </row>
    <row r="57" spans="1:24" ht="3.95" customHeight="1">
      <c r="A57" s="1520"/>
      <c r="B57" s="2639" t="str">
        <f>Uebersetzung!D153</f>
        <v>Lieu, date, signature:</v>
      </c>
      <c r="C57" s="2643"/>
      <c r="D57" s="2644"/>
      <c r="E57" s="2644"/>
      <c r="F57" s="2645"/>
      <c r="G57" s="2643"/>
      <c r="H57" s="2644"/>
      <c r="I57" s="2644"/>
      <c r="J57" s="2644"/>
      <c r="K57" s="2644"/>
      <c r="M57" s="456"/>
      <c r="O57" s="609"/>
    </row>
    <row r="58" spans="1:24" ht="20.100000000000001" customHeight="1">
      <c r="A58" s="1520"/>
      <c r="B58" s="2639"/>
      <c r="C58" s="2646"/>
      <c r="D58" s="2647"/>
      <c r="E58" s="2647"/>
      <c r="F58" s="2648"/>
      <c r="G58" s="2646"/>
      <c r="H58" s="2647"/>
      <c r="I58" s="2647"/>
      <c r="J58" s="2647"/>
      <c r="K58" s="2647"/>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Contrôle d'exécution</v>
      </c>
      <c r="C60" s="680" t="str">
        <f>Uebersetzung!D155</f>
        <v>même personne</v>
      </c>
      <c r="D60" s="835"/>
      <c r="E60" s="870"/>
      <c r="F60" s="802" t="str">
        <f>IF(bern,Uebersetzung!D706,Uebersetzung!D156)</f>
        <v>Remarques:</v>
      </c>
      <c r="G60" s="2657"/>
      <c r="H60" s="2658"/>
      <c r="I60" s="2658"/>
      <c r="J60" s="2658"/>
      <c r="K60" s="2658"/>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45804.647175925929</v>
      </c>
      <c r="K62" s="779" t="str">
        <f>Entrées!C8&amp;" / "&amp;Entrées!C7&amp;" / "&amp;Entrées!H7&amp;" / "&amp;Entrées!J7&amp;" / "&amp;Entrées!J8&amp;" / "&amp;Entrées!G55&amp;" / "&amp;Entrées!G57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86" t="str">
        <f>IF(auswahl1&gt;0,INDEX(Standardwerte!$AF$5:$AF$13,2),"")</f>
        <v/>
      </c>
      <c r="C66" s="2587"/>
      <c r="D66" s="391" t="str">
        <f>IF(minergiea,"Bestgeräte",IF(auswahl1&gt;0,INDEX(Standardwerte!$BA$5:$BA$13,2),""))</f>
        <v/>
      </c>
      <c r="E66" s="392"/>
      <c r="F66" s="393"/>
      <c r="G66" s="145" t="s">
        <v>310</v>
      </c>
      <c r="H66" s="145" t="s">
        <v>311</v>
      </c>
      <c r="I66" s="877"/>
      <c r="J66" s="2655"/>
      <c r="K66" s="2656"/>
      <c r="M66" s="155"/>
      <c r="N66" s="122"/>
    </row>
    <row r="67" spans="1:14" ht="17.25" hidden="1" customHeight="1">
      <c r="A67" s="1518" t="s">
        <v>398</v>
      </c>
      <c r="B67" s="2588" t="str">
        <f>IF(auswahl2&gt;0,INDEX(Standardwerte!$AF$5:$AF$13,3),"")</f>
        <v/>
      </c>
      <c r="C67" s="2589"/>
      <c r="D67" s="387" t="str">
        <f>IF(auswahl2&gt;0,INDEX(Standardwerte!$BA$5:$BA$13,3),"")</f>
        <v/>
      </c>
      <c r="E67" s="388"/>
      <c r="F67" s="389"/>
      <c r="G67" s="146" t="s">
        <v>310</v>
      </c>
      <c r="H67" s="146" t="s">
        <v>311</v>
      </c>
      <c r="I67" s="878"/>
      <c r="J67" s="2653"/>
      <c r="K67" s="2654"/>
      <c r="M67" s="155"/>
      <c r="N67" s="121"/>
    </row>
    <row r="68" spans="1:14" ht="17.25" hidden="1" customHeight="1">
      <c r="A68" s="1518" t="s">
        <v>399</v>
      </c>
      <c r="B68" s="2588" t="str">
        <f>IF(auswahl3&gt;0,INDEX(Standardwerte!$AF$5:$AF$13,4),"")</f>
        <v/>
      </c>
      <c r="C68" s="2589"/>
      <c r="D68" s="387" t="str">
        <f>IF(auswahl3&gt;0,INDEX(Standardwerte!$BA$5:$BA$13,4),"")</f>
        <v/>
      </c>
      <c r="E68" s="388"/>
      <c r="F68" s="389"/>
      <c r="G68" s="146" t="s">
        <v>310</v>
      </c>
      <c r="H68" s="146" t="s">
        <v>311</v>
      </c>
      <c r="I68" s="879"/>
      <c r="J68" s="2651"/>
      <c r="K68" s="2652"/>
      <c r="M68" s="155"/>
      <c r="N68" s="121"/>
    </row>
    <row r="69" spans="1:14" ht="17.25" hidden="1" customHeight="1">
      <c r="A69" s="1518" t="s">
        <v>400</v>
      </c>
      <c r="B69" s="2588" t="str">
        <f>IF(auswahl4&gt;0,INDEX(Standardwerte!$AF$5:$AF$13,5),"")</f>
        <v/>
      </c>
      <c r="C69" s="2589"/>
      <c r="D69" s="387" t="str">
        <f>IF(auswahl4&gt;0,INDEX(Standardwerte!$BA$5:$BA$13,5),"")</f>
        <v/>
      </c>
      <c r="E69" s="388"/>
      <c r="F69" s="389"/>
      <c r="G69" s="146" t="s">
        <v>310</v>
      </c>
      <c r="H69" s="146" t="s">
        <v>311</v>
      </c>
      <c r="I69" s="879"/>
      <c r="J69" s="2651"/>
      <c r="K69" s="2652"/>
      <c r="M69" s="155" t="b">
        <v>0</v>
      </c>
      <c r="N69" s="121"/>
    </row>
    <row r="70" spans="1:14" ht="17.25" hidden="1" customHeight="1">
      <c r="A70" s="1518" t="s">
        <v>401</v>
      </c>
      <c r="B70" s="2588" t="str">
        <f>IF(auswahl5&gt;0,INDEX(Standardwerte!$AF$5:$AF$13,6),"")</f>
        <v/>
      </c>
      <c r="C70" s="2589"/>
      <c r="D70" s="387" t="str">
        <f>IF(auswahl5&gt;0,INDEX(Standardwerte!$BA$5:$BA$13,6),"")</f>
        <v/>
      </c>
      <c r="E70" s="388"/>
      <c r="F70" s="389"/>
      <c r="G70" s="146" t="s">
        <v>310</v>
      </c>
      <c r="H70" s="146" t="s">
        <v>311</v>
      </c>
      <c r="I70" s="879"/>
      <c r="J70" s="2651"/>
      <c r="K70" s="2652"/>
      <c r="M70" s="155" t="b">
        <v>0</v>
      </c>
      <c r="N70" s="121"/>
    </row>
    <row r="71" spans="1:14" ht="17.25" hidden="1" customHeight="1">
      <c r="A71" s="1518" t="s">
        <v>402</v>
      </c>
      <c r="B71" s="2588" t="str">
        <f>IF(auswahl6&gt;0,INDEX(Standardwerte!$AF$5:$AF$13,7),"")</f>
        <v/>
      </c>
      <c r="C71" s="2589"/>
      <c r="D71" s="387" t="str">
        <f>IF(auswahl6&gt;0,INDEX(Standardwerte!$BA$5:$BA$13,7),"")</f>
        <v/>
      </c>
      <c r="E71" s="388"/>
      <c r="F71" s="389"/>
      <c r="G71" s="146" t="s">
        <v>310</v>
      </c>
      <c r="H71" s="146" t="s">
        <v>311</v>
      </c>
      <c r="I71" s="879"/>
      <c r="J71" s="2651"/>
      <c r="K71" s="2652"/>
      <c r="M71" s="155" t="b">
        <v>1</v>
      </c>
      <c r="N71" s="121"/>
    </row>
    <row r="72" spans="1:14" ht="17.25" hidden="1" customHeight="1">
      <c r="A72" s="1518" t="s">
        <v>430</v>
      </c>
      <c r="B72" s="2588" t="str">
        <f>IF(auswahl7&gt;0,INDEX(Standardwerte!$AF$5:$AF$13,8),"")</f>
        <v/>
      </c>
      <c r="C72" s="2589"/>
      <c r="D72" s="387" t="str">
        <f>IF(auswahl7&gt;0,INDEX(Standardwerte!$BA$5:$BA$13,8),"")</f>
        <v/>
      </c>
      <c r="E72" s="388"/>
      <c r="F72" s="389"/>
      <c r="G72" s="146" t="s">
        <v>310</v>
      </c>
      <c r="H72" s="146" t="s">
        <v>311</v>
      </c>
      <c r="I72" s="879"/>
      <c r="J72" s="2651"/>
      <c r="K72" s="2652"/>
      <c r="M72" s="155"/>
      <c r="N72" s="121"/>
    </row>
    <row r="73" spans="1:14" ht="17.25" hidden="1" customHeight="1">
      <c r="A73" s="1518" t="s">
        <v>116</v>
      </c>
      <c r="B73" s="2580" t="str">
        <f>IF(auswahl8&gt;0,INDEX(Standardwerte!$AF$5:$AF$13,9),"")</f>
        <v/>
      </c>
      <c r="C73" s="2581"/>
      <c r="D73" s="390" t="str">
        <f>IF(auswahl8&gt;0,INDEX(Standardwerte!$BA$5:$BA$13,9),"")</f>
        <v/>
      </c>
      <c r="E73" s="385"/>
      <c r="F73" s="386"/>
      <c r="G73" s="147" t="s">
        <v>310</v>
      </c>
      <c r="H73" s="147" t="s">
        <v>311</v>
      </c>
      <c r="I73" s="880">
        <f>IF(OR(minergiep,minergiea),IF(Neubau=2,"0.6 1/h",IF(Neubau=3,"1.5 1/h","0.6 (bzw. 1.5)")),)</f>
        <v>0</v>
      </c>
      <c r="J73" s="2649"/>
      <c r="K73" s="2650"/>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590" t="s">
        <v>369</v>
      </c>
      <c r="C77" s="2591"/>
      <c r="D77" s="2591"/>
      <c r="E77" s="2591"/>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584" t="str">
        <f>"- Eingabe (Berechnung beilegen)"</f>
        <v>- Eingabe (Berechnung beilegen)</v>
      </c>
      <c r="C80" s="2585"/>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IF(AND(OR(MUKEN,bern),Justificatif!G43=0),0,IF(OR(F80&gt;0,_Qel1&gt;0),IF(F80&gt;0,F80,_Qel1),))</f>
        <v>0</v>
      </c>
      <c r="G83" s="854">
        <f>IF(AND(OR(MUKEN,bern),Justificatif!H43=0),0,IF(OR(G80&gt;0,_Qel2&gt;0),IF(G80&gt;0,G80,_Qel2),))</f>
        <v>0</v>
      </c>
      <c r="H83" s="854">
        <f>IF(AND(OR(MUKEN,bern),Justificatif!I43=0),0,IF(OR(H80&gt;0,_Qel3&gt;0),IF(H80&gt;0,H80,_Qel3),))</f>
        <v>0</v>
      </c>
      <c r="I83" s="419">
        <f>IF(AND(OR(MUKEN,bern),Justificatif!J43=0),0,IF(OR(I80&gt;0,_Qel4&gt;0),IF(I80&gt;0,I80,_Qel4),))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IF(AND(OR(MUKEN,bern),Justificatif!G43=0),0,IF(E_Qk11&gt;0,E_Qk11,0))</f>
        <v>0</v>
      </c>
      <c r="G84" s="453">
        <f>IF(AND(OR(MUKEN,bern),Justificatif!H43=0),0,IF(E_Qk22&gt;0,E_Qk22,0))</f>
        <v>0</v>
      </c>
      <c r="H84" s="453">
        <f>IF(AND(OR(MUKEN,bern),Justificatif!I43=0),0,IF(E_Qk33&gt;0,E_Qk33,0))</f>
        <v>0</v>
      </c>
      <c r="I84" s="453">
        <f>IF(AND(OR(MUKEN,bern),Justificatif!J43=0),0,IF(E_Qk44&gt;0,E_Qk44,0))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580" t="s">
        <v>190</v>
      </c>
      <c r="C89" s="2581"/>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Besoins pour chauffage avec renouvellement d'air normal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0</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A reporter dans PVOpti</v>
      </c>
    </row>
    <row r="2" spans="1:18" ht="15" customHeight="1"/>
    <row r="3" spans="1:18" ht="15" customHeight="1" thickBot="1">
      <c r="C3" s="1580" t="str">
        <f>Uebersetzung!D490</f>
        <v>Veuillez copier la cellule jaune et la reporter dans PVOpti :</v>
      </c>
      <c r="L3" s="156">
        <v>1</v>
      </c>
    </row>
    <row r="4" spans="1:18" ht="15" customHeight="1">
      <c r="A4" s="593" t="str">
        <f>Uebersetzung!D491</f>
        <v>N° MOP: / Nom du projet : / Adresse du bâtiment :</v>
      </c>
      <c r="C4" s="1571" t="str">
        <f>IF(Projekt3&lt;&gt;"",Projekt3,"")</f>
        <v/>
      </c>
      <c r="D4" s="1567" t="str">
        <f>IF(Entrées!C7&lt;&gt;"",Entrées!C7,"")</f>
        <v/>
      </c>
      <c r="E4" s="1567"/>
      <c r="F4" s="1567"/>
      <c r="G4" s="1567" t="str">
        <f>IF(Entrées!C8&lt;&gt;"",Entrées!C8,"")</f>
        <v/>
      </c>
      <c r="H4" s="1567"/>
      <c r="I4" s="1558"/>
      <c r="L4" s="156">
        <v>2</v>
      </c>
      <c r="M4" s="593" t="s">
        <v>203</v>
      </c>
      <c r="P4" s="593" t="s">
        <v>332</v>
      </c>
      <c r="Q4" s="593" t="s">
        <v>1532</v>
      </c>
      <c r="R4" s="593" t="s">
        <v>2958</v>
      </c>
    </row>
    <row r="5" spans="1:18" ht="15" customHeight="1">
      <c r="A5" s="593" t="str">
        <f>Uebersetzung!D492</f>
        <v xml:space="preserve">N° de la parcelle : / Station météorologique : / LiebeLieu : </v>
      </c>
      <c r="C5" s="1559" t="str">
        <f>IF(Projekt2&lt;&gt;"",Projekt2,"")</f>
        <v/>
      </c>
      <c r="D5" s="1568" t="str">
        <f>IF(Entrées!I14&lt;&gt;"",Entrées!I14,"")</f>
        <v xml:space="preserve"> </v>
      </c>
      <c r="E5" s="1568"/>
      <c r="F5" s="1568"/>
      <c r="G5" s="1568" t="str">
        <f>IF(Entrées!E13&lt;&gt;"",Entrées!E13,"")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Installation de production de chaleur</v>
      </c>
      <c r="C8" s="1559"/>
      <c r="D8" s="1561"/>
      <c r="E8" s="1561"/>
      <c r="F8" s="1561"/>
      <c r="G8" s="1561"/>
      <c r="H8" s="1561"/>
      <c r="I8" s="1562"/>
      <c r="L8" s="156">
        <v>6</v>
      </c>
      <c r="M8" s="593" t="s">
        <v>473</v>
      </c>
      <c r="P8" s="593" t="s">
        <v>237</v>
      </c>
      <c r="Q8" s="593" t="s">
        <v>1536</v>
      </c>
      <c r="R8" s="593" t="s">
        <v>2962</v>
      </c>
    </row>
    <row r="9" spans="1:18" ht="15" customHeight="1">
      <c r="A9" s="593" t="str">
        <f>Uebersetzung!D494</f>
        <v>Prod.  A</v>
      </c>
      <c r="B9" s="1582"/>
      <c r="C9" s="1581" t="str">
        <f>IF(Justificatif!M8&gt;1,INDEX($L$3:$M$50,Justificatif!M8,2),"")</f>
        <v/>
      </c>
      <c r="D9" s="1569">
        <f>IF(Justificatif!J8&gt;0,Justificatif!J8/100,0)</f>
        <v>0</v>
      </c>
      <c r="E9" s="1569">
        <f>IF(Justificatif!L8&gt;0,Justificatif!L8/100,0)</f>
        <v>0</v>
      </c>
      <c r="F9" s="1569">
        <f>IF(AND(WirkungsgradA&gt;0,Justificatif!S8=1),WirkungsgradA,0)</f>
        <v>0</v>
      </c>
      <c r="G9" s="1569">
        <f>IF(AND(WirkungsgradA&gt;0,qw&gt;0,Justificatif!T8=1),WirkungsgradA,0)</f>
        <v>0</v>
      </c>
      <c r="H9" s="1569">
        <f>IF(Justificatif!AD8,IF(Justificatif!G9&gt;0,Justificatif!G9,0),0)</f>
        <v>0</v>
      </c>
      <c r="I9" s="1570">
        <f>IF(Justificatif!AD8,IF(AND(Justificatif!G9&gt;0,qw&gt;0),Justificatif!G9,0),0)</f>
        <v>0</v>
      </c>
      <c r="L9" s="156">
        <v>7</v>
      </c>
      <c r="M9" s="593" t="s">
        <v>474</v>
      </c>
      <c r="P9" s="593" t="s">
        <v>830</v>
      </c>
      <c r="Q9" s="593" t="s">
        <v>830</v>
      </c>
      <c r="R9" s="593" t="s">
        <v>2963</v>
      </c>
    </row>
    <row r="10" spans="1:18" ht="15" customHeight="1">
      <c r="A10" s="593" t="str">
        <f>Uebersetzung!D495</f>
        <v>Prod. B</v>
      </c>
      <c r="C10" s="1581" t="str">
        <f>IF(Justificatif!M12&gt;1,INDEX($L$3:$M$50,Justificatif!M12,2),"")</f>
        <v/>
      </c>
      <c r="D10" s="1569">
        <f>IF(Justificatif!J12&gt;0,Justificatif!J12/100,0)</f>
        <v>0</v>
      </c>
      <c r="E10" s="1569">
        <f>IF(Justificatif!L12&gt;0,Justificatif!L12/100,0)</f>
        <v>0</v>
      </c>
      <c r="F10" s="1569">
        <f>IF(AND(WirkungsgradB&gt;0,Justificatif!S12=1),WirkungsgradB,0)</f>
        <v>0</v>
      </c>
      <c r="G10" s="1569">
        <f>IF(AND(WirkungsgradB&gt;0,qw&gt;0,Justificatif!T12=1),WirkungsgradB,0)</f>
        <v>0</v>
      </c>
      <c r="H10" s="1569">
        <f>IF(Justificatif!AD12,IF(Justificatif!G13&gt;0,Justificatif!G13,0),0)</f>
        <v>0</v>
      </c>
      <c r="I10" s="1570">
        <f>IF(Justificatif!AD12,IF(AND(Justificatif!G13&gt;0,qw&gt;0),Justificatif!G13,0),0)</f>
        <v>0</v>
      </c>
      <c r="L10" s="156">
        <v>8</v>
      </c>
      <c r="M10" s="593" t="s">
        <v>205</v>
      </c>
      <c r="P10" s="593" t="s">
        <v>831</v>
      </c>
      <c r="Q10" s="593" t="s">
        <v>1537</v>
      </c>
      <c r="R10" s="593" t="s">
        <v>2964</v>
      </c>
    </row>
    <row r="11" spans="1:18" ht="15" customHeight="1">
      <c r="A11" s="593" t="str">
        <f>Uebersetzung!D496</f>
        <v>Prod. C</v>
      </c>
      <c r="C11" s="1581" t="str">
        <f>IF(Justificatif!M16&gt;1,INDEX($L$3:$M$50,Justificatif!M16,2),"")</f>
        <v/>
      </c>
      <c r="D11" s="1569">
        <f>IF(Justificatif!J16&gt;0,Justificatif!J16/100,0)</f>
        <v>0</v>
      </c>
      <c r="E11" s="1569">
        <f>IF(Justificatif!L16&gt;0,Justificatif!L16/100,0)</f>
        <v>0</v>
      </c>
      <c r="F11" s="1569">
        <f>IF(AND(WirkungsgradC&gt;0,Justificatif!S16=1),WirkungsgradC,0)</f>
        <v>0</v>
      </c>
      <c r="G11" s="1569">
        <f>IF(AND(WirkungsgradC&gt;0,qw&gt;0,Justificatif!T16=1),WirkungsgradC,0)</f>
        <v>0</v>
      </c>
      <c r="H11" s="1569">
        <f>IF(Justificatif!AD16,IF(Justificatif!G17&gt;0,Justificatif!G17,0),0)</f>
        <v>0</v>
      </c>
      <c r="I11" s="1570">
        <f>IF(Justificatif!AD16,IF(AND(Justificatif!G17&gt;0,qw&gt;0),Justificatif!G17,0),0)</f>
        <v>0</v>
      </c>
      <c r="L11" s="156">
        <v>9</v>
      </c>
      <c r="M11" s="593" t="s">
        <v>318</v>
      </c>
      <c r="P11" s="593" t="s">
        <v>238</v>
      </c>
      <c r="Q11" s="593" t="s">
        <v>1538</v>
      </c>
      <c r="R11" s="593" t="s">
        <v>2965</v>
      </c>
    </row>
    <row r="12" spans="1:18" ht="15" customHeight="1">
      <c r="A12" s="593" t="str">
        <f>Uebersetzung!D497</f>
        <v>Prod. D</v>
      </c>
      <c r="C12" s="1581" t="str">
        <f>IF(Justificatif!M20&gt;1,INDEX($L$3:$M$50,Justificatif!M20,2),"")</f>
        <v/>
      </c>
      <c r="D12" s="1569">
        <f>IF(Justificatif!J20&gt;0,Justificatif!J20/100,0)</f>
        <v>0</v>
      </c>
      <c r="E12" s="1569">
        <f>IF(Justificatif!L20&gt;0,Justificatif!L20/100,0)</f>
        <v>0</v>
      </c>
      <c r="F12" s="1569">
        <f>IF(AND(WirkungsgradD&gt;0,Justificatif!S20=1),WirkungsgradD,0)</f>
        <v>0</v>
      </c>
      <c r="G12" s="1569">
        <f>IF(AND(WirkungsgradD&gt;0,qw&gt;0,Justificatif!T20=1),WirkungsgradD,0)</f>
        <v>0</v>
      </c>
      <c r="H12" s="1569">
        <f>IF(Justificatif!AD20,IF(Justificatif!G21&gt;0,Justificatif!G21,0),0)</f>
        <v>0</v>
      </c>
      <c r="I12" s="1570">
        <f>IF(Justificatif!AD20,IF(AND(Justificatif!G21&gt;0,qw&gt;0),Justificatif!G21,0),0)</f>
        <v>0</v>
      </c>
      <c r="L12" s="156">
        <v>10</v>
      </c>
      <c r="M12" s="593" t="s">
        <v>22</v>
      </c>
      <c r="P12" s="593" t="s">
        <v>491</v>
      </c>
      <c r="Q12" s="593" t="s">
        <v>491</v>
      </c>
      <c r="R12" s="593" t="s">
        <v>2966</v>
      </c>
    </row>
    <row r="13" spans="1:18" ht="15" customHeight="1">
      <c r="C13" s="1581" t="str">
        <f>IF(Justificatif!B24&lt;&gt;"",Justificatif!B24,"")</f>
        <v/>
      </c>
      <c r="D13" s="1569" t="str">
        <f>IF(Justificatif!J24&gt;0,Justificatif!J24/100,"")</f>
        <v/>
      </c>
      <c r="E13" s="1569" t="str">
        <f>IF(Justificatif!L24&gt;0,Justificatif!L24/100,"")</f>
        <v/>
      </c>
      <c r="F13" s="1569"/>
      <c r="G13" s="1569"/>
      <c r="H13" s="1561"/>
      <c r="I13" s="1562"/>
      <c r="L13" s="156">
        <v>11</v>
      </c>
      <c r="M13" s="593" t="s">
        <v>1224</v>
      </c>
      <c r="P13" s="593" t="s">
        <v>239</v>
      </c>
      <c r="Q13" s="593" t="s">
        <v>1539</v>
      </c>
      <c r="R13" s="593" t="s">
        <v>2967</v>
      </c>
    </row>
    <row r="14" spans="1:18" ht="15" customHeight="1">
      <c r="A14" s="593" t="str">
        <f>Uebersetzung!D498</f>
        <v>Capacité utile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Catégorie de bâtiments</v>
      </c>
      <c r="B17" s="593" t="s">
        <v>2936</v>
      </c>
      <c r="C17" s="1572" t="str">
        <f>IF(Entrées!F16&lt;&gt;"",INDEX(P3:R15,Kategorie1,Uebersetzung!$A$1),"")</f>
        <v/>
      </c>
      <c r="D17" s="1569" t="str">
        <f>IF(Entrées!G16&lt;&gt;"",INDEX(P3:R15,Kategorie2,Uebersetzung!$A$1),"")</f>
        <v/>
      </c>
      <c r="E17" s="1569" t="str">
        <f>IF(Entrées!H16&lt;&gt;"",INDEX(P3:R15,Kategorie3,Uebersetzung!$A$1),"")</f>
        <v/>
      </c>
      <c r="F17" s="1569" t="str">
        <f>IF(Entrées!I16&lt;&gt;"",INDEX(P3:R15,Kategorie4,Uebersetzung!$A$1),"")</f>
        <v/>
      </c>
      <c r="G17" s="1561"/>
      <c r="H17" s="1561"/>
      <c r="I17" s="1562"/>
      <c r="L17" s="156">
        <v>15</v>
      </c>
      <c r="M17" s="593" t="s">
        <v>383</v>
      </c>
    </row>
    <row r="18" spans="1:13" ht="15" customHeight="1">
      <c r="A18" s="593" t="str">
        <f>Uebersetzung!D501</f>
        <v>Surface de référence énergétique SRE (m2)</v>
      </c>
      <c r="C18" s="1572">
        <f>IF(Entrées!O2&lt;&gt;"",Entrées!O2,0)</f>
        <v>0</v>
      </c>
      <c r="D18" s="1569">
        <f>IF(Entrées!P2&lt;&gt;"",Entrées!P2,0)</f>
        <v>0</v>
      </c>
      <c r="E18" s="1569">
        <f>IF(Entrées!Q2&lt;&gt;"",Entrées!Q2,0)</f>
        <v>0</v>
      </c>
      <c r="F18" s="1569">
        <f>IF(Entrées!R2&lt;&gt;"",Entrées!R2,0)</f>
        <v>0</v>
      </c>
      <c r="G18" s="1561"/>
      <c r="H18" s="1561"/>
      <c r="I18" s="1562"/>
      <c r="L18" s="156">
        <v>16</v>
      </c>
      <c r="M18" s="593" t="s">
        <v>459</v>
      </c>
    </row>
    <row r="19" spans="1:13" ht="15" customHeight="1">
      <c r="A19" s="593" t="str">
        <f>Uebersetzung!D502</f>
        <v>Nouvelle construction</v>
      </c>
      <c r="C19" s="1572" t="str">
        <f>IF(Entrées!F21&lt;&gt;"",IF(Neubau1=2,1,IF(Neubau1=3,0,"")),"")</f>
        <v/>
      </c>
      <c r="D19" s="1569" t="str">
        <f>IF(Entrées!G21&lt;&gt;"",IF(Neubau2=2,1,IF(Neubau2=3,0,"")),"")</f>
        <v/>
      </c>
      <c r="E19" s="1569" t="str">
        <f>IF(Entrées!H21&lt;&gt;"",IF(Neubau3=2,1,IF(Neubau3=3,0,"")),"")</f>
        <v/>
      </c>
      <c r="F19" s="1569" t="str">
        <f>IF(Entrées!I21&lt;&gt;"",IF(Neubau4=2,1,IF(Neubau4=3,0,"")),"")</f>
        <v/>
      </c>
      <c r="G19" s="1561"/>
      <c r="H19" s="1561"/>
      <c r="I19" s="1562"/>
      <c r="L19" s="156">
        <v>17</v>
      </c>
      <c r="M19" s="593" t="s">
        <v>475</v>
      </c>
    </row>
    <row r="20" spans="1:13" ht="15" customHeight="1">
      <c r="A20" s="593" t="str">
        <f>Uebersetzung!D503</f>
        <v>Eau chaude, valeur calculée</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Climatisation</v>
      </c>
      <c r="B22" s="593" t="s">
        <v>524</v>
      </c>
      <c r="C22" s="1573">
        <f>IF(Justificatif!G40&lt;&gt;0,Justificatif!G40,0)</f>
        <v>0</v>
      </c>
      <c r="D22" s="1574">
        <f>IF(Justificatif!H40&lt;&gt;0,Justificatif!H40,0)</f>
        <v>0</v>
      </c>
      <c r="E22" s="1574">
        <f>IF(Justificatif!I40&lt;&gt;0,Justificatif!I40,0)</f>
        <v>0</v>
      </c>
      <c r="F22" s="1574">
        <f>IF(Justificatif!J40&lt;&gt;0,Justificatif!J40,0)</f>
        <v>0</v>
      </c>
      <c r="G22" s="1561"/>
      <c r="H22" s="1561"/>
      <c r="I22" s="1562"/>
      <c r="L22" s="156">
        <v>20</v>
      </c>
      <c r="M22" s="593" t="s">
        <v>149</v>
      </c>
    </row>
    <row r="23" spans="1:13" ht="15" customHeight="1">
      <c r="A23" s="593" t="str">
        <f>Uebersetzung!D506</f>
        <v>Ventilation</v>
      </c>
      <c r="B23" s="593" t="s">
        <v>524</v>
      </c>
      <c r="C23" s="1573">
        <f>IF(Justificatif!G39&lt;&gt;0,Justificatif!G39,0)</f>
        <v>0</v>
      </c>
      <c r="D23" s="1574">
        <f>IF(Justificatif!H39&lt;&gt;0,Justificatif!H39,0)</f>
        <v>0</v>
      </c>
      <c r="E23" s="1574">
        <f>IF(Justificatif!I39&lt;&gt;0,Justificatif!I39,0)</f>
        <v>0</v>
      </c>
      <c r="F23" s="1574">
        <f>IF(Justificatif!J39&lt;&gt;0,Justificatif!J39,0)</f>
        <v>0</v>
      </c>
      <c r="G23" s="1561"/>
      <c r="H23" s="1561"/>
      <c r="I23" s="1562"/>
      <c r="L23" s="156">
        <v>21</v>
      </c>
      <c r="M23" s="593" t="s">
        <v>150</v>
      </c>
    </row>
    <row r="24" spans="1:13" ht="15" customHeight="1">
      <c r="A24" s="593" t="str">
        <f>Uebersetzung!D507</f>
        <v>Nombre d'unités d'habitation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Cons. ascenseur</v>
      </c>
      <c r="B25" s="593" t="s">
        <v>524</v>
      </c>
      <c r="C25" s="1583">
        <f>IF(AND(Entrées!O2&gt;0,MINERGIE!O33&gt;0),MINERGIE!O33/Entrées!O2,0)</f>
        <v>0</v>
      </c>
      <c r="D25" s="1584">
        <f>IF(AND(Entrées!P2&gt;0,MINERGIE!P33&gt;0),MINERGIE!P33/Entrées!P2,0)</f>
        <v>0</v>
      </c>
      <c r="E25" s="1584">
        <f>IF(AND(Entrées!Q2&gt;0,MINERGIE!Q33&gt;0),MINERGIE!Q33/Entrées!Q2,0)</f>
        <v>0</v>
      </c>
      <c r="F25" s="1584">
        <f>IF(AND(Entrées!R2&gt;0,MINERGIE!R33&gt;0),MINERGIE!R33/Entrées!R2,0)</f>
        <v>0</v>
      </c>
      <c r="G25" s="1561"/>
      <c r="H25" s="1561"/>
      <c r="I25" s="1562"/>
      <c r="L25" s="156">
        <v>23</v>
      </c>
      <c r="M25" s="593" t="s">
        <v>146</v>
      </c>
    </row>
    <row r="26" spans="1:13" ht="15" customHeight="1">
      <c r="A26" s="593" t="str">
        <f>Uebersetzung!D509</f>
        <v>Cons. des bandes de chauffage</v>
      </c>
      <c r="B26" s="593" t="s">
        <v>524</v>
      </c>
      <c r="C26" s="1572">
        <v>0</v>
      </c>
      <c r="D26" s="1569">
        <v>0</v>
      </c>
      <c r="E26" s="1569">
        <v>0</v>
      </c>
      <c r="F26" s="1569">
        <v>0</v>
      </c>
      <c r="G26" s="1561"/>
      <c r="H26" s="1561"/>
      <c r="I26" s="1562"/>
      <c r="L26" s="156">
        <v>24</v>
      </c>
      <c r="M26" s="593" t="s">
        <v>152</v>
      </c>
    </row>
    <row r="27" spans="1:13" ht="15" customHeight="1">
      <c r="A27" s="593" t="str">
        <f>Uebersetzung!D510</f>
        <v>Réduction pour le lave-vaisselle</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Réduction pour le frigo et le congélateur</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Réduction pour le lave-linge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Réduction pour le sèche-linge</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Réduction pour la cuisinières à induction</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Réduction pour l'éclairage</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Réduction pour l'éclairage commun</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Réduction pour les équipements techniques</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Besoin calculé pour l'éclairage des bâtiments du tertiaire</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Besoin calculé pour les appareils des bâtiments du tertiaire</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Besoin calculé pour l'équipement commun des bâtiments du tertiaire</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PAC compacte avec air fourni/repris sans récup. de chaleur (qu'eau chaude)</v>
      </c>
    </row>
    <row r="50" spans="12:13">
      <c r="L50" s="156">
        <v>48</v>
      </c>
      <c r="M50" s="593" t="str">
        <f>Standardwerte!T153</f>
        <v>Biomasse, connectée au réseau hydraulique</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6" sqref="C286"/>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v>45804</v>
      </c>
      <c r="C282" s="1614" t="s">
        <v>5206</v>
      </c>
      <c r="D282" s="1614" t="s">
        <v>5205</v>
      </c>
      <c r="E282" s="2561" t="s">
        <v>347</v>
      </c>
      <c r="F282" s="937">
        <v>2.95</v>
      </c>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47" t="str">
        <f>Uebersetzung!$D$607</f>
        <v>Informations complémentaires</v>
      </c>
      <c r="G2" s="3047"/>
      <c r="H2" s="3047"/>
      <c r="I2" s="3048"/>
      <c r="J2" s="2222"/>
    </row>
    <row r="3" spans="1:46" ht="17.25" customHeight="1">
      <c r="B3" s="2082"/>
      <c r="C3" s="2083"/>
      <c r="D3" s="2083"/>
      <c r="E3" s="2083"/>
      <c r="F3" s="3049" t="str">
        <f>Uebersetzung!$D$610</f>
        <v>Construction</v>
      </c>
      <c r="G3" s="3049"/>
      <c r="H3" s="3049"/>
      <c r="I3" s="3050"/>
      <c r="J3" s="2223"/>
      <c r="Q3" s="2268" t="s">
        <v>650</v>
      </c>
      <c r="R3" s="2269"/>
      <c r="S3" s="2269"/>
      <c r="T3" s="2269"/>
      <c r="U3" s="2269"/>
      <c r="V3" s="2269"/>
      <c r="W3" s="2269"/>
      <c r="X3" s="2269"/>
      <c r="Y3" s="2270"/>
      <c r="AA3" s="3080" t="s">
        <v>4579</v>
      </c>
      <c r="AB3" s="3081"/>
      <c r="AC3" s="3079" t="s">
        <v>4649</v>
      </c>
      <c r="AD3" s="3079"/>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82"/>
      <c r="AB4" s="3083"/>
      <c r="AC4" s="3083"/>
      <c r="AD4" s="3083"/>
      <c r="AE4" s="3054"/>
      <c r="AF4" s="2090"/>
      <c r="AG4" s="2088" t="s">
        <v>4740</v>
      </c>
      <c r="AH4" s="2083"/>
      <c r="AI4" s="2083"/>
      <c r="AJ4" s="2083"/>
      <c r="AK4" s="2083"/>
      <c r="AL4" s="2083"/>
    </row>
    <row r="5" spans="1:46">
      <c r="Q5" s="2274"/>
      <c r="R5" s="2275"/>
      <c r="S5" s="2275"/>
      <c r="T5" s="2275"/>
      <c r="U5" s="2275"/>
      <c r="V5" s="2275"/>
      <c r="W5" s="2275"/>
      <c r="X5" s="2275"/>
      <c r="Y5" s="2276"/>
      <c r="AA5" s="3084"/>
      <c r="AB5" s="3085"/>
      <c r="AC5" s="3085"/>
      <c r="AD5" s="3085"/>
      <c r="AE5" s="3055"/>
      <c r="AF5" s="2090"/>
      <c r="AG5" s="2089"/>
      <c r="AH5" s="2090"/>
      <c r="AI5" s="2090"/>
      <c r="AJ5" s="2091"/>
      <c r="AK5" s="2092"/>
      <c r="AL5" s="2092"/>
    </row>
    <row r="6" spans="1:46" ht="17.25" customHeight="1">
      <c r="B6" s="2094" t="str">
        <f>Entrées!B13</f>
        <v>Données sur le bâtiment</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Surface de référence énergétique SRE</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Entrées!B46</f>
        <v>Besoins pour le chauffage effectif avec l'installation de ventilation</v>
      </c>
      <c r="AH7" s="2090">
        <f>Entrées!K46*IF(Einheiten=2,3.6,1)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Somme</v>
      </c>
      <c r="Q8" s="2067" t="s">
        <v>312</v>
      </c>
      <c r="R8" s="3056">
        <v>1</v>
      </c>
      <c r="S8" s="3057"/>
      <c r="T8" s="3056">
        <v>2</v>
      </c>
      <c r="U8" s="3057"/>
      <c r="V8" s="3056">
        <v>3</v>
      </c>
      <c r="W8" s="3057"/>
      <c r="X8" s="3056">
        <v>4</v>
      </c>
      <c r="Y8" s="3057"/>
      <c r="AA8" s="2067" t="s">
        <v>312</v>
      </c>
      <c r="AB8" s="2079">
        <v>1</v>
      </c>
      <c r="AC8" s="2079">
        <v>2</v>
      </c>
      <c r="AD8" s="2079">
        <v>3</v>
      </c>
      <c r="AE8" s="2079">
        <v>4</v>
      </c>
      <c r="AF8" s="2090"/>
      <c r="AG8" s="2106" t="str">
        <f>MINERGIE!B17</f>
        <v>Eau chaude, valeur calculée</v>
      </c>
      <c r="AH8" s="2283">
        <f>qw*3.6</f>
        <v>0</v>
      </c>
      <c r="AI8" s="2090"/>
      <c r="AJ8" s="2107" t="s">
        <v>191</v>
      </c>
      <c r="AK8" s="2185"/>
      <c r="AL8" s="2090"/>
      <c r="AQ8" s="1236"/>
      <c r="AT8" s="1236"/>
    </row>
    <row r="9" spans="1:46" s="2089" customFormat="1" ht="18.75" customHeight="1">
      <c r="A9" s="2108" t="str">
        <f>IF(B11&lt;&gt;"","T"&amp;ROW(),"")</f>
        <v>T9</v>
      </c>
      <c r="B9" s="2115" t="str">
        <f>Uebersetzung!D31</f>
        <v>Catégorie d'ouvrage</v>
      </c>
      <c r="C9" s="2116"/>
      <c r="D9" s="2116"/>
      <c r="E9" s="2116"/>
      <c r="F9" s="2117" t="str">
        <f>GebKat1</f>
        <v/>
      </c>
      <c r="G9" s="2117" t="str">
        <f>GebKat2</f>
        <v/>
      </c>
      <c r="H9" s="2117" t="str">
        <f>GebKat3</f>
        <v/>
      </c>
      <c r="I9" s="2118" t="str">
        <f>GebKat4</f>
        <v/>
      </c>
      <c r="J9" s="2090"/>
      <c r="K9" s="2119" t="str">
        <f>IF(Entrées!F16="","",Entrées!F16)</f>
        <v/>
      </c>
      <c r="L9" s="2119" t="str">
        <f>IF(Entrées!G16="","",Entrées!G16)</f>
        <v/>
      </c>
      <c r="M9" s="2120" t="str">
        <f>IF(Entrées!H16="","",Entrées!H16)</f>
        <v/>
      </c>
      <c r="N9" s="2120" t="str">
        <f>IF(Entrées!I16="","",Entrées!I16)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VLOOKUP(Entrées!I14,tab_hgt,2,FALSE)</f>
        <v>#N/A</v>
      </c>
      <c r="AI9" s="2091"/>
      <c r="AJ9" s="2107" t="s">
        <v>4651</v>
      </c>
      <c r="AK9" s="2284"/>
      <c r="AL9" s="2127"/>
      <c r="AQ9" s="1236"/>
      <c r="AT9" s="1236"/>
    </row>
    <row r="10" spans="1:46" s="2089" customFormat="1" ht="18.75" customHeight="1">
      <c r="A10" s="2108" t="str">
        <f>IF(B12&lt;&gt;"","T"&amp;ROW(),"")</f>
        <v>T10</v>
      </c>
      <c r="B10" s="2128" t="str">
        <f>Uebersetzung!D608</f>
        <v>Type de justification</v>
      </c>
      <c r="C10" s="2129"/>
      <c r="D10" s="2129"/>
      <c r="E10" s="2130"/>
      <c r="F10" s="3051" t="str">
        <f>Entrées!E14</f>
        <v>Loi sur l'énergie bernoise 2023</v>
      </c>
      <c r="G10" s="3052"/>
      <c r="H10" s="3052"/>
      <c r="I10" s="3053"/>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Surface de référence énergétique SRE</v>
      </c>
      <c r="C11" s="2132"/>
      <c r="D11" s="2133" t="s">
        <v>4586</v>
      </c>
      <c r="E11" s="2134" t="s">
        <v>4587</v>
      </c>
      <c r="F11" s="3058">
        <f>summe_ebf</f>
        <v>0</v>
      </c>
      <c r="G11" s="3059"/>
      <c r="H11" s="3059"/>
      <c r="I11" s="3060"/>
      <c r="J11" s="2093"/>
      <c r="K11" s="2135">
        <f>Entrées!O2</f>
        <v>0</v>
      </c>
      <c r="L11" s="2135">
        <f>Entrées!P2</f>
        <v>0</v>
      </c>
      <c r="M11" s="2135">
        <f>Entrées!Q2</f>
        <v>0</v>
      </c>
      <c r="N11" s="2136">
        <f>Entrées!R2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INDEX(INDIRECT(INDEX(mx_matrixbezeichnungen_c_speicherung,MATCH(Construction!$F27,Oeko!B14:B20,0),MATCH(Construction!$K9,Oeko!$C$13:$N$13,0))),MATCH(S12,Oeko!$B$307:$B$579,),MATCH(AB10,Oeko!$D$305:$BK$305,0))</f>
        <v>#N/A</v>
      </c>
      <c r="AC11" s="2238" t="e">
        <f ca="1">INDEX(INDIRECT(INDEX(mx_matrixbezeichnungen_c_speicherung,MATCH(Construction!$F27,Oeko!B14:B20,0),MATCH(Construction!$L9,Oeko!$C$13:$N$13,0))),MATCH(U12,Oeko!$B$307:$B$579,),MATCH(AC10,Oeko!$D$305:$BK$305,0))</f>
        <v>#N/A</v>
      </c>
      <c r="AD11" s="2279" t="e">
        <f ca="1">INDEX(INDIRECT(INDEX(mx_matrixbezeichnungen_c_speicherung,MATCH(Construction!$F27,Oeko!B14:B20,0),MATCH(Construction!$M9,Oeko!$C$13:$N$13,0))),MATCH(W12,Oeko!$B$307:$B$579,),MATCH(AD10,Oeko!$D$305:$BK$305,0))</f>
        <v>#N/A</v>
      </c>
      <c r="AE11" s="2238" t="e">
        <f ca="1">INDEX(INDIRECT(INDEX(mx_matrixbezeichnungen_c_speicherung,MATCH(Construction!$F27,Oeko!B14:B20,0),MATCH(Construction!$N9,Oeko!$C$13:$N$13,0))),MATCH(Y12,Oeko!$B$307:$B$579,),MATCH(AE10,Oeko!$D$305:$BK$305,0))</f>
        <v>#N/A</v>
      </c>
      <c r="AG11" s="2126" t="s">
        <v>4588</v>
      </c>
      <c r="AH11" s="2091" t="e">
        <f>22-VLOOKUP(Entrées!I14,tab_hgt,3,FALSE)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Nouvelle construction</v>
      </c>
      <c r="C12" s="2142"/>
      <c r="D12" s="2142"/>
      <c r="E12" s="2143"/>
      <c r="F12" s="3061" t="str">
        <f>IF(AlleZonenNeu,Standardwerte!AA48,Standardwerte!AA49)</f>
        <v>non</v>
      </c>
      <c r="G12" s="3062"/>
      <c r="H12" s="3062"/>
      <c r="I12" s="3063"/>
      <c r="J12" s="2093"/>
      <c r="K12" s="2144">
        <f>Entrées!F21</f>
        <v>0</v>
      </c>
      <c r="L12" s="2144">
        <f>Entrées!G21</f>
        <v>0</v>
      </c>
      <c r="M12" s="2144">
        <f>Entrées!H21</f>
        <v>0</v>
      </c>
      <c r="N12" s="2145">
        <f>Entrées!I21</f>
        <v>0</v>
      </c>
      <c r="O12" s="2146">
        <f>Entrées!J21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IF(F27=Oeko!$A$260,1,INDEX(INDIRECT(INDEX(mx_matrixbezeichnungen_c_speicherung,MATCH(Construction!$F27,Oeko!B14:B20,0),MATCH(Construction!$K9,Oeko!$C$13:$N$13,0))),MATCH(CONCATENATE($B$29&amp;" "&amp;$F$29),Oeko!$C$307:$C$579,0),MATCH(AB10,Oeko!$D$305:$BK$305,0)))</f>
        <v>#N/A</v>
      </c>
      <c r="AC12" s="2179" t="e">
        <f ca="1">IF(F27=Oeko!$A$260,1,INDEX(INDIRECT(INDEX(mx_matrixbezeichnungen_c_speicherung,MATCH(Construction!$F27,Oeko!B14:B20,0),MATCH(Construction!$L9,Oeko!$C$13:$N$13,0))),MATCH(CONCATENATE($B$29&amp;" "&amp;$F29),Oeko!$C$307:$C$579,0),MATCH(AC10,Oeko!$D$305:$BK$305,0)))</f>
        <v>#N/A</v>
      </c>
      <c r="AD12" s="2074" t="e">
        <f ca="1">IF(F27=Oeko!$A$260,1,INDEX(INDIRECT(INDEX(mx_matrixbezeichnungen_c_speicherung,MATCH(Construction!$F27,Oeko!B14:B20,0),MATCH(Construction!$M9,Oeko!$C$13:$N$13,0))),MATCH(CONCATENATE($B$29&amp;" "&amp;$F29),Oeko!$C$307:$C$579,0),MATCH(AD10,Oeko!$D$305:$BK$305,0)))</f>
        <v>#N/A</v>
      </c>
      <c r="AE12" s="2179" t="e">
        <f ca="1">IF(F27=Oeko!$A$260,1,INDEX(INDIRECT(INDEX(mx_matrixbezeichnungen_c_speicherung,MATCH(Construction!$F27,Oeko!B14:B20,0),MATCH(Construction!$N9,Oeko!$C$13:$N$13,0))),MATCH(CONCATENATE($B$29&amp;"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Facteur d'enveloppe</v>
      </c>
      <c r="C13" s="2142"/>
      <c r="D13" s="2147" t="s">
        <v>4590</v>
      </c>
      <c r="E13" s="2148"/>
      <c r="F13" s="3064" t="str">
        <f>O13</f>
        <v/>
      </c>
      <c r="G13" s="3065"/>
      <c r="H13" s="3065"/>
      <c r="I13" s="3066"/>
      <c r="J13" s="2149"/>
      <c r="K13" s="2144">
        <f>Entrées!F23</f>
        <v>0</v>
      </c>
      <c r="L13" s="2144">
        <f>Entrées!G23</f>
        <v>0</v>
      </c>
      <c r="M13" s="2144">
        <f>Entrées!H23</f>
        <v>0</v>
      </c>
      <c r="N13" s="2144">
        <f>Entrées!I23</f>
        <v>0</v>
      </c>
      <c r="O13" s="2150" t="str">
        <f>Entrées!K23</f>
        <v/>
      </c>
      <c r="Q13" s="2138" t="str">
        <f>Justificatif!H6&amp;"  A"</f>
        <v>Rendement / COPa  A</v>
      </c>
      <c r="R13" s="2168">
        <f>IF(OR(F15=$AA$23,F15=$AA$24),WirkungsgradA,0)</f>
        <v>0</v>
      </c>
      <c r="T13" s="2318">
        <f>IF(OR(F15=$AA$23,F15=$AA$24),Justificatif!J8/100,0)</f>
        <v>0</v>
      </c>
      <c r="U13" s="2318">
        <f>IF(OR(F15=$AA$23,F15=$AA$24),Justificatif!L8/100,0)</f>
        <v>0</v>
      </c>
      <c r="V13" s="2257"/>
      <c r="W13" s="2257"/>
      <c r="X13" s="2257"/>
      <c r="Y13" s="2258"/>
      <c r="AA13" s="2126" t="s">
        <v>4605</v>
      </c>
      <c r="AB13" s="2074" t="e">
        <f ca="1">INDEX(INDIRECT(INDEX(mx_matrixbezeichnungen_c_speicherung,MATCH(Construction!$F$27,Oeko!B14:B20,0),MATCH(Construction!$K$9,Oeko!$C$13:$N$13,0))),MATCH(S24,Oeko!$C$307:$C$579,0),MATCH(AB$10,Oeko!$D$305:$BK$305,0))</f>
        <v>#N/A</v>
      </c>
      <c r="AC13" s="2179" t="e">
        <f ca="1">INDEX(INDIRECT(INDEX(mx_matrixbezeichnungen_c_speicherung,MATCH(Construction!$F27,Oeko!B14:B20,0),MATCH(Construction!$L$9,Oeko!$C$13:$N$13,0))),MATCH(U24,Oeko!$C$307:$C$579,0),MATCH(AC$10,Oeko!$D$305:$BK$305,0))</f>
        <v>#N/A</v>
      </c>
      <c r="AD13" s="2074" t="e">
        <f ca="1">INDEX(INDIRECT(INDEX(mx_matrixbezeichnungen_c_speicherung,MATCH(Construction!$F27,Oeko!B14:B20,0),MATCH(Construction!$M$9,Oeko!$C$13:$N$13,0))),MATCH(W24,Oeko!$C$307:$C$579,0),MATCH(AD$10,Oeko!$D$305:$BK$305,0))</f>
        <v>#N/A</v>
      </c>
      <c r="AE13" s="2179" t="e">
        <f ca="1">INDEX(INDIRECT(INDEX(mx_matrixbezeichnungen_c_speicherung,MATCH(Construction!$F27,Oeko!B14:B20,0),MATCH(Construction!$N$9,Oeko!$C$13:$N$13,0))),MATCH(Y24,Oeko!$C$307:$C$579,0),MATCH(AE$10,Oeko!$D$305:$BK$305,0))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Autoproduction d‘électricité</v>
      </c>
      <c r="C14" s="2142"/>
      <c r="D14" s="2152"/>
      <c r="E14" s="2147" t="s">
        <v>1860</v>
      </c>
      <c r="F14" s="3067">
        <f>MINERGIE!E117</f>
        <v>0</v>
      </c>
      <c r="G14" s="3068"/>
      <c r="H14" s="3068"/>
      <c r="I14" s="3069"/>
      <c r="J14" s="2149"/>
      <c r="Q14" s="2138" t="str">
        <f>Justificatif!H6&amp;"  B"</f>
        <v>Rendement / COPa  B</v>
      </c>
      <c r="R14" s="2174">
        <f>IF(OR(F16=$AA$23,F16=$AA$24),WirkungsgradB,)</f>
        <v>0</v>
      </c>
      <c r="T14" s="2319">
        <f>IF(OR(F16=$AA$23,F16=$AA$24),Justificatif!J12/100,0)</f>
        <v>0</v>
      </c>
      <c r="U14" s="2319">
        <f>IF(OR(F16=$AA$23,F16=$AA$24),Justificatif!L12/100,0)</f>
        <v>0</v>
      </c>
      <c r="V14" s="2092"/>
      <c r="W14" s="2092"/>
      <c r="X14" s="2092"/>
      <c r="Y14" s="2259"/>
      <c r="AA14" s="2126" t="s">
        <v>4035</v>
      </c>
      <c r="AB14" s="2074" t="e">
        <f ca="1">INDEX(INDIRECT(INDEX(mx_matrixbezeichnungen_c_speicherung,MATCH(Construction!$F$27,Oeko!B14:B20,0),MATCH(Construction!$K$9,Oeko!$C$13:$N$13,0))),MATCH($F25,Oeko!$C$307:$C$579,0),MATCH(AB$10,Oeko!$D$305:$BK$305,0))</f>
        <v>#N/A</v>
      </c>
      <c r="AC14" s="2179" t="e">
        <f ca="1">INDEX(INDIRECT(INDEX(mx_matrixbezeichnungen_c_speicherung,MATCH(Construction!$F27,Oeko!B14:B20,0),MATCH(Construction!$L$9,Oeko!$C$13:$N$13,0))),MATCH($F25,Oeko!$C$307:$C$579,0),MATCH(AC$10,Oeko!$D$305:$BK$305,0))</f>
        <v>#N/A</v>
      </c>
      <c r="AD14" s="2074" t="e">
        <f ca="1">INDEX(INDIRECT(INDEX(mx_matrixbezeichnungen_c_speicherung,MATCH(Construction!$F27,Oeko!B14:B20,0),MATCH(Construction!$M$9,Oeko!$C$13:$N$13,0))),MATCH($F25,Oeko!$C$307:$C$579,0),MATCH(AD$10,Oeko!$D$305:$BK$305,0))</f>
        <v>#N/A</v>
      </c>
      <c r="AE14" s="2179" t="e">
        <f ca="1">INDEX(INDIRECT(INDEX(mx_matrixbezeichnungen_c_speicherung,MATCH(Construction!$F27,Oeko!B14:B20,0),MATCH(Construction!$N$9,Oeko!$C$13:$N$13,0))),MATCH($F25,Oeko!$C$307:$C$579,0),MATCH(AE$10,Oeko!$D$305:$BK$305,0))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Justificatif!B7</f>
        <v>Production de chaleur A</v>
      </c>
      <c r="C15" s="2142"/>
      <c r="D15" s="2154"/>
      <c r="E15" s="2154"/>
      <c r="F15" s="3031">
        <f>Justificatif!B8</f>
        <v>0</v>
      </c>
      <c r="G15" s="3032"/>
      <c r="H15" s="3032"/>
      <c r="I15" s="3033"/>
      <c r="J15" s="2093"/>
      <c r="K15" s="2122" t="s">
        <v>4594</v>
      </c>
      <c r="L15" s="2110"/>
      <c r="M15" s="2110"/>
      <c r="N15" s="2140" t="b">
        <f>IF(Zonen=0,FALSE,IF(AND(Zonen&gt;0,_neu1=FALSE),FALSE,IF(AND(Zonen&gt;1,_neu2=FALSE),FALSE,IF(AND(Zonen&gt;2,_neu3=FALSE),FALSE,IF(AND(Zonen&gt;3,_neu4=FALSE),FALSE,TRUE)))))</f>
        <v>0</v>
      </c>
      <c r="Q15" s="2138" t="str">
        <f>Justificatif!H6&amp;"  C"</f>
        <v>Rendement / COPa  C</v>
      </c>
      <c r="R15" s="2174">
        <f>IF(OR(F17=$AA$23,F17=$AA$24),WirkungsgradC,0)</f>
        <v>0</v>
      </c>
      <c r="T15" s="2319">
        <f>IF(OR(F17=$AA$23,F17=$AA$24),Justificatif!J16/100,0)</f>
        <v>0</v>
      </c>
      <c r="U15" s="2319">
        <f>IF(OR(F17=$AA$23,F17=$AA$24),Justificatif!L16/100,0)</f>
        <v>0</v>
      </c>
      <c r="V15" s="2092"/>
      <c r="W15" s="2092"/>
      <c r="X15" s="2092"/>
      <c r="Y15" s="2259"/>
      <c r="AA15" s="2126" t="s">
        <v>4036</v>
      </c>
      <c r="AB15" s="2074" t="e">
        <f ca="1">INDEX(INDIRECT(INDEX(mx_matrixbezeichnungen_c_speicherung,MATCH(Construction!$F$27,Oeko!B14:B20,0),MATCH(Construction!$K$9,Oeko!$C$13:$N$13,0))),MATCH($F24,Oeko!$C$307:$C$579,0),MATCH(AB$10,Oeko!$D$305:$BK$305,0))</f>
        <v>#N/A</v>
      </c>
      <c r="AC15" s="2179" t="e">
        <f ca="1">INDEX(INDIRECT(INDEX(mx_matrixbezeichnungen_c_speicherung,MATCH(Construction!$F27,Oeko!B14:B20,0),MATCH(Construction!$L$9,Oeko!$C$13:$N$13,0))),MATCH($F24,Oeko!$C$307:$C$579,0),MATCH(AC$10,Oeko!$D$305:$BK$305,0))</f>
        <v>#N/A</v>
      </c>
      <c r="AD15" s="2074" t="e">
        <f ca="1">INDEX(INDIRECT(INDEX(mx_matrixbezeichnungen_c_speicherung,MATCH(Construction!$F27,Oeko!B14:B20,0),MATCH(Construction!$M$9,Oeko!$C$13:$N$13,0))),MATCH($F24,Oeko!$C$307:$C$579,0),MATCH(AD$10,Oeko!$D$305:$BK$305,0))</f>
        <v>#N/A</v>
      </c>
      <c r="AE15" s="2179" t="e">
        <f ca="1">INDEX(INDIRECT(INDEX(mx_matrixbezeichnungen_c_speicherung,MATCH(Construction!$F27,Oeko!B14:B20,0),MATCH(Construction!$N$9,Oeko!$C$13:$N$13,0))),MATCH($F24,Oeko!$C$307:$C$579,0),MATCH(AE$10,Oeko!$D$305:$BK$305,0))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Justificatif!B11</f>
        <v>Production de chaleur B</v>
      </c>
      <c r="C16" s="2142"/>
      <c r="D16" s="2154"/>
      <c r="E16" s="2154"/>
      <c r="F16" s="3031">
        <f>Justificatif!B12</f>
        <v>0</v>
      </c>
      <c r="G16" s="3032"/>
      <c r="H16" s="3032"/>
      <c r="I16" s="3033"/>
      <c r="J16" s="2093"/>
      <c r="K16" s="3000" t="s">
        <v>4609</v>
      </c>
      <c r="L16" s="3001"/>
      <c r="M16" s="3002"/>
      <c r="N16" s="2228" t="b">
        <f>IF(GF_1&lt;EBF,TRUE,FALSE)</f>
        <v>0</v>
      </c>
      <c r="Q16" s="2122" t="str">
        <f>Justificatif!H6&amp;"  D"</f>
        <v>Rendement / COPa  D</v>
      </c>
      <c r="R16" s="2174">
        <f>IF(OR(F18=$AA$23,F18=$AA$24),WirkungsgradD,0)</f>
        <v>0</v>
      </c>
      <c r="T16" s="2319">
        <f>IF(OR(F18=$AA$23,F18=$AA$24),Justificatif!J20/100,0)</f>
        <v>0</v>
      </c>
      <c r="U16" s="2319">
        <f>IF(OR(F18=$AA$23,F18=$AA$24),Justificatif!L20/100,0)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Justificatif!B15</f>
        <v>Production de chaleur C</v>
      </c>
      <c r="C17" s="2142"/>
      <c r="D17" s="2154"/>
      <c r="E17" s="2154"/>
      <c r="F17" s="3031">
        <f>Justificatif!B16</f>
        <v>0</v>
      </c>
      <c r="G17" s="3032"/>
      <c r="H17" s="3032"/>
      <c r="I17" s="3033"/>
      <c r="J17" s="2093"/>
      <c r="Q17" s="2251" t="str">
        <f>Justificatif!H6&amp;"  E"</f>
        <v>Rendement / COPa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Justificatif!B19</f>
        <v>Production de chaleur D</v>
      </c>
      <c r="C18" s="2232"/>
      <c r="D18" s="2233"/>
      <c r="E18" s="2233"/>
      <c r="F18" s="3034">
        <f>Justificatif!B20</f>
        <v>0</v>
      </c>
      <c r="G18" s="3035"/>
      <c r="H18" s="3035"/>
      <c r="I18" s="3036"/>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IF(OR(Justificatif!M8=19,Justificatif!M8=20),Justificatif!G9,0)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Justificatif!B23</f>
        <v>Report autres productions de chaleur</v>
      </c>
      <c r="C19" s="2159"/>
      <c r="D19" s="2159"/>
      <c r="E19" s="2159"/>
      <c r="F19" s="3044">
        <f>Justificatif!B24</f>
        <v>0</v>
      </c>
      <c r="G19" s="3045"/>
      <c r="H19" s="3045"/>
      <c r="I19" s="3046"/>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IF(OR(Justificatif!M12=19,Justificatif!M12=20),Justificatif!G13,0)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Données saisies par l'utilisateur</v>
      </c>
      <c r="C20" s="2100"/>
      <c r="D20" s="2100"/>
      <c r="E20" s="2100"/>
      <c r="F20" s="3037" t="str">
        <f>IF(M32,Fehler1,"")</f>
        <v/>
      </c>
      <c r="G20" s="3037"/>
      <c r="H20" s="3037"/>
      <c r="I20" s="3038"/>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IF(OR(Justificatif!M16=19,Justificatif!M16=20),Justificatif!G17,0)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Epaisseur des dalles &lt;= 24 cm</v>
      </c>
      <c r="T21" s="2090" t="b">
        <v>1</v>
      </c>
      <c r="U21" s="2090"/>
      <c r="V21" s="2090"/>
      <c r="W21" s="2090"/>
      <c r="X21" s="2090"/>
      <c r="Y21" s="2131"/>
      <c r="AA21" s="2302">
        <v>130</v>
      </c>
      <c r="AB21" s="2303">
        <v>28.1</v>
      </c>
      <c r="AC21" s="2362">
        <v>50</v>
      </c>
      <c r="AD21" s="2364">
        <f>IF(AH23=0,AH17,IF(AJ23,AH23/AI23,AH23))</f>
        <v>0</v>
      </c>
      <c r="AG21" s="2367" t="s">
        <v>4738</v>
      </c>
      <c r="AH21" s="2085">
        <f>IF(OR(Justificatif!M20=19,Justificatif!M20=20),Justificatif!G21,0)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Epaisseur des dalles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39" t="str">
        <f>Uebersetzung!D611</f>
        <v>Surface de plancher</v>
      </c>
      <c r="C23" s="3040"/>
      <c r="D23" s="2164" t="str">
        <f>Uebersetzung!D699</f>
        <v>SP</v>
      </c>
      <c r="E23" s="2165" t="s">
        <v>4587</v>
      </c>
      <c r="F23" s="3041"/>
      <c r="G23" s="3042"/>
      <c r="H23" s="3042"/>
      <c r="I23" s="3043"/>
      <c r="J23" s="2093"/>
      <c r="M23" s="2169" t="b">
        <f>IF(AND(AlleZonenNeu,OR(GF_1="",GF_1=0)),TRUE,FALSE)</f>
        <v>0</v>
      </c>
      <c r="Q23" s="2229"/>
      <c r="R23" s="2162"/>
      <c r="S23" s="2162"/>
      <c r="T23" s="2162"/>
      <c r="U23" s="2162"/>
      <c r="V23" s="2162"/>
      <c r="W23" s="2162"/>
      <c r="X23" s="2162"/>
      <c r="Y23" s="2237"/>
      <c r="AA23" s="2292" t="str">
        <f>Uebersetzung!D174</f>
        <v>Pompe à chaleur géothermique, que chauffage</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10" t="str">
        <f>Uebersetzung!D619</f>
        <v>Fouille</v>
      </c>
      <c r="C24" s="3011"/>
      <c r="D24" s="2142"/>
      <c r="E24" s="2167" t="str">
        <f t="shared" ref="E24:E31" si="4">IF(M24,Fehler1,"")</f>
        <v/>
      </c>
      <c r="F24" s="3012"/>
      <c r="G24" s="3013"/>
      <c r="H24" s="3013"/>
      <c r="I24" s="3014"/>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Pompe à chaleur géothermique, qu'eau chaude</v>
      </c>
      <c r="AB24" s="2295"/>
      <c r="AC24" s="2295"/>
      <c r="AD24" s="2296"/>
      <c r="AK24" s="1236"/>
      <c r="AL24" s="1236"/>
      <c r="AM24" s="1236"/>
      <c r="AN24" s="1236"/>
      <c r="AO24" s="1236"/>
      <c r="AQ24" s="1236"/>
      <c r="AT24" s="1236"/>
    </row>
    <row r="25" spans="1:46" s="2089" customFormat="1" ht="18.75" customHeight="1">
      <c r="A25" s="2108" t="str">
        <f>IF(B25&lt;&gt;"","T"&amp;ROW(),"")</f>
        <v>T25</v>
      </c>
      <c r="B25" s="3010" t="str">
        <f>Uebersetzung!D618</f>
        <v>Fondation</v>
      </c>
      <c r="C25" s="3011"/>
      <c r="D25" s="2132"/>
      <c r="E25" s="2167" t="str">
        <f t="shared" si="4"/>
        <v/>
      </c>
      <c r="F25" s="3015"/>
      <c r="G25" s="3016"/>
      <c r="H25" s="3016"/>
      <c r="I25" s="3017"/>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10" t="str">
        <f>Uebersetzung!D616</f>
        <v>Composition du sous sol</v>
      </c>
      <c r="C26" s="3011"/>
      <c r="D26" s="2142"/>
      <c r="E26" s="2167" t="str">
        <f t="shared" si="4"/>
        <v/>
      </c>
      <c r="F26" s="3028"/>
      <c r="G26" s="3029"/>
      <c r="H26" s="3029"/>
      <c r="I26" s="3030"/>
      <c r="J26" s="2093"/>
      <c r="K26" s="2174">
        <f>IF(OR(AlleZonenNeu=FALSE,F26=""),1,VLOOKUP(F26,Oeko!Y12:AB17,4,FALSE))</f>
        <v>1</v>
      </c>
      <c r="L26" s="2106" t="b">
        <f t="shared" si="6"/>
        <v>0</v>
      </c>
      <c r="M26" s="2175" t="b">
        <f t="shared" si="5"/>
        <v>0</v>
      </c>
      <c r="Q26" s="2122" t="s">
        <v>4208</v>
      </c>
      <c r="R26" s="2242">
        <f ca="1">IF(L27,INDEX(INDIRECT(INDEX(mx_matrixbezeichnungen,MATCH(Construction!$F27,Oeko!$B$4:$B$10,0),MATCH(Construction!$K9,Oeko!$C$3:$N$3,0))),MATCH(R12,Oeko!$B$26:$B$298,),MATCH(R25,Oeko!$D$24:$DS$24,0)),1)</f>
        <v>1</v>
      </c>
      <c r="S26" s="2240">
        <f ca="1">IF(L27,INDEX(INDIRECT(INDEX(mx_matrixbezeichnungen,MATCH(Construction!$F27,Oeko!$B$4:$B$10,0),MATCH(Construction!$K9,Oeko!$C$3:$N$3,0))),MATCH(S12,Oeko!$B$26:$B$298,),MATCH(S25,Oeko!$D$24:$DS$24,0)),1)</f>
        <v>1</v>
      </c>
      <c r="T26" s="2245">
        <f ca="1">IF(L27,INDEX(INDIRECT(INDEX(mx_matrixbezeichnungen,MATCH(Construction!$F27,Oeko!$B$4:$B$10,0),MATCH(Construction!$L9,Oeko!$C$3:$N$3,0))),MATCH(T12,Oeko!$B$26:$B$298,),MATCH(T25,Oeko!$D$24:$DS$24,0)),1)</f>
        <v>1</v>
      </c>
      <c r="U26" s="2243">
        <f ca="1">IF(L27,INDEX(INDIRECT(INDEX(mx_matrixbezeichnungen,MATCH(Construction!$F27,Oeko!$B$4:$B$10,0),MATCH(Construction!$L9,Oeko!$C$3:$N$3,0))),MATCH(U12,Oeko!$B$26:$B$298,),MATCH(U25,Oeko!$D$24:$DS$24,0)),1)</f>
        <v>1</v>
      </c>
      <c r="V26" s="2242">
        <f ca="1">IF(L27,INDEX(INDIRECT(INDEX(mx_matrixbezeichnungen,MATCH(Construction!$F27,Oeko!$B$4:$B$10,0),MATCH(Construction!$M9,Oeko!$C$3:$N$3,0))),MATCH(V12,Oeko!$B$26:$B$298,),MATCH(V25,Oeko!$D$24:$DS$24,0)),1)</f>
        <v>1</v>
      </c>
      <c r="W26" s="2240">
        <f ca="1">IF(L27,INDEX(INDIRECT(INDEX(mx_matrixbezeichnungen,MATCH(Construction!$F27,Oeko!$B$4:$B$10,0),MATCH(Construction!$M9,Oeko!$C$3:$N$3,0))),MATCH(W12,Oeko!$B$26:$B$298,),MATCH(W25,Oeko!$D$24:$DS$24,0)),1)</f>
        <v>1</v>
      </c>
      <c r="X26" s="2245">
        <f ca="1">IF(L27,INDEX(INDIRECT(INDEX(mx_matrixbezeichnungen,MATCH(Construction!$F27,Oeko!$B$4:$B$10,0),MATCH(Construction!$N9,Oeko!$C$3:$N$3,0))),MATCH(X12,Oeko!$B$26:$B$298,),MATCH(X25,Oeko!$D$24:$DS$24,0)),1)</f>
        <v>1</v>
      </c>
      <c r="Y26" s="2245">
        <f ca="1">IF(L27,INDEX(INDIRECT(INDEX(mx_matrixbezeichnungen,MATCH(Construction!$F27,Oeko!$B$4:$B$10,0),MATCH(Construction!$N9,Oeko!$C$3:$N$3,0))),MATCH(Y12,Oeko!$B$26:$B$298,),MATCH(Y25,Oeko!$D$24:$DS$24,0)),1)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10" t="str">
        <f>Uebersetzung!D612</f>
        <v>Typologie de construction</v>
      </c>
      <c r="C27" s="3011"/>
      <c r="D27" s="2142"/>
      <c r="E27" s="2167" t="str">
        <f t="shared" si="4"/>
        <v/>
      </c>
      <c r="F27" s="3012"/>
      <c r="G27" s="3013"/>
      <c r="H27" s="3013"/>
      <c r="I27" s="3014"/>
      <c r="J27" s="2176"/>
      <c r="K27" s="2174">
        <f>IF(OR(AlleZonenNeu=FALSE,F27=""),1,VLOOKUP(F27,Oeko!P12:T19,5,FALSE))</f>
        <v>1</v>
      </c>
      <c r="L27" s="2106" t="b">
        <f t="shared" si="6"/>
        <v>0</v>
      </c>
      <c r="M27" s="2175" t="b">
        <f t="shared" si="5"/>
        <v>0</v>
      </c>
      <c r="Q27" s="2122" t="s">
        <v>4031</v>
      </c>
      <c r="R27" s="2074">
        <f ca="1">IF(L29,IF(F27=Oeko!$A$260,1,INDEX(INDIRECT(INDEX(mx_matrixbezeichnungen,MATCH(Construction!$F27,Oeko!$B$4:$B$10,0),MATCH(Construction!$K9,Oeko!$C$3:$N$3,0))),MATCH(CONCATENATE($B$29&amp;" "&amp;$F$29),Oeko!$C$26:$C$298,0),MATCH(R25,Oeko!$D$24:$DS$24,0))),1)</f>
        <v>1</v>
      </c>
      <c r="S27" s="2241">
        <f ca="1">IF(L29,IF(F27=Oeko!$A$260,1,INDEX(INDIRECT(INDEX(mx_matrixbezeichnungen,MATCH(Construction!$F27,Oeko!$B$4:$B$10,0),MATCH(Construction!$K9,Oeko!$C$3:$N$3,0))),MATCH(CONCATENATE($B$29&amp;" "&amp;$F$29),Oeko!$C$26:$C$298,0),MATCH(S25,Oeko!$D$24:$DS$24,0))),1)</f>
        <v>1</v>
      </c>
      <c r="T27" s="2179">
        <f ca="1">IF(L29,IF(F27=Oeko!$A$260,1,INDEX(INDIRECT(INDEX(mx_matrixbezeichnungen,MATCH(Construction!$F27,Oeko!$B$4:$B$10,0),MATCH(Construction!$L9,Oeko!$C$3:$N$3,0))),MATCH(CONCATENATE($B$29&amp;" "&amp;$F$29),Oeko!$C$26:$C$298,0),MATCH(T25,Oeko!$D$24:$DS$24,0))),1)</f>
        <v>1</v>
      </c>
      <c r="U27" s="2244">
        <f ca="1">IF(L29,IF(F27=Oeko!$A$260,1,INDEX(INDIRECT(INDEX(mx_matrixbezeichnungen,MATCH(Construction!$F27,Oeko!$B$4:$B$10,0),MATCH(Construction!$L9,Oeko!$C$3:$N$3,0))),MATCH(CONCATENATE($B$29&amp;" "&amp;$F29),Oeko!$C$26:$C$298,0),MATCH(U25,Oeko!$D$24:$DS$24,0))),1)</f>
        <v>1</v>
      </c>
      <c r="V27" s="2074">
        <f ca="1">IF(L29,IF(F27=Oeko!$A$260,1,INDEX(INDIRECT(INDEX(mx_matrixbezeichnungen,MATCH(Construction!$F27,Oeko!$B$4:$B$10,0),MATCH(Construction!$M9,Oeko!$C$3:$N$3,0))),MATCH(CONCATENATE($B$29&amp;" "&amp;$F29),Oeko!$C$26:$C$298,0),MATCH(V25,Oeko!$D$24:$DS$24,0))),1)</f>
        <v>1</v>
      </c>
      <c r="W27" s="2241">
        <f ca="1">IF(L29,IF(F27=Oeko!$A$260,1,INDEX(INDIRECT(INDEX(mx_matrixbezeichnungen,MATCH(Construction!$F27,Oeko!$B$4:$B$10,0),MATCH(Construction!$M9,Oeko!$C$3:$N$3,0))),MATCH(CONCATENATE($B$29&amp;" "&amp;$F29),Oeko!$C$26:$C$298,0),MATCH(W25,Oeko!$D$24:$DS$24,0))),1)</f>
        <v>1</v>
      </c>
      <c r="X27" s="2179">
        <f ca="1">IF(L29,IF(F27=Oeko!$A$260,1,INDEX(INDIRECT(INDEX(mx_matrixbezeichnungen,MATCH(Construction!$F27,Oeko!$B$4:$B$10,0),MATCH(Construction!$N9,Oeko!$C$3:$N$3,0))),MATCH(CONCATENATE($B$29&amp;" "&amp;$F29),Oeko!$C$26:$C$298,0),MATCH(X25,Oeko!$D$24:$DS$24,0))),1)</f>
        <v>1</v>
      </c>
      <c r="Y27" s="2179">
        <f ca="1">IF(L29,IF(F27=Oeko!$A$260,1,INDEX(INDIRECT(INDEX(mx_matrixbezeichnungen,MATCH(Construction!$F27,Oeko!$B$4:$B$10,0),MATCH(Construction!$N9,Oeko!$C$3:$N$3,0))),MATCH(CONCATENATE($B$29&amp;" "&amp;$F29),Oeko!$C$26:$C$298,0),MATCH(Y25,Oeko!$D$24:$DS$24,0))),1)</f>
        <v>1</v>
      </c>
      <c r="Z27" s="2155" t="s">
        <v>4604</v>
      </c>
      <c r="AA27" s="3070" t="s">
        <v>319</v>
      </c>
      <c r="AB27" s="3071"/>
      <c r="AC27" s="3071"/>
      <c r="AD27" s="3071"/>
      <c r="AG27" s="2285" t="s">
        <v>4580</v>
      </c>
      <c r="AH27" s="2226"/>
      <c r="AI27" s="2095"/>
      <c r="AK27" s="1236"/>
      <c r="AL27" s="1236"/>
      <c r="AM27" s="1236"/>
      <c r="AN27" s="1236"/>
      <c r="AO27" s="1236"/>
      <c r="AQ27" s="1236"/>
      <c r="AT27" s="1236"/>
    </row>
    <row r="28" spans="1:46" s="2089" customFormat="1" ht="18.75" customHeight="1">
      <c r="A28" s="2108" t="str">
        <f>IF(B28&lt;&gt;"","T"&amp;ROW(),"")</f>
        <v>T28</v>
      </c>
      <c r="B28" s="3010" t="str">
        <f>Uebersetzung!D617</f>
        <v>Structure porteuse</v>
      </c>
      <c r="C28" s="3011"/>
      <c r="D28" s="2142"/>
      <c r="E28" s="2167" t="str">
        <f t="shared" si="4"/>
        <v/>
      </c>
      <c r="F28" s="3015"/>
      <c r="G28" s="3016"/>
      <c r="H28" s="3016"/>
      <c r="I28" s="3017"/>
      <c r="J28" s="2176"/>
      <c r="K28" s="2174">
        <f>IF(OR(AlleZonenNeu=FALSE,F28=""),1,VLOOKUP(F28,Oeko!AI12:AM17,5,FALSE))</f>
        <v>1</v>
      </c>
      <c r="L28" s="2106" t="b">
        <f t="shared" si="6"/>
        <v>0</v>
      </c>
      <c r="M28" s="2175" t="b">
        <f t="shared" si="5"/>
        <v>0</v>
      </c>
      <c r="Q28" s="2122" t="s">
        <v>4605</v>
      </c>
      <c r="R28" s="2074">
        <f ca="1">IF(L26,INDEX(INDIRECT(INDEX(mx_matrixbezeichnungen,MATCH(Construction!$F$27,Oeko!$B$4:$B$10,0),MATCH(Construction!$K$9,Oeko!$C$3:$N$3,0))),MATCH(R24,Oeko!$C$26:$C$298,0),MATCH(R$25,Oeko!$D$24:$DS$24,0)),1)</f>
        <v>1</v>
      </c>
      <c r="S28" s="2241">
        <f ca="1">IF(L26,INDEX(INDIRECT(INDEX(mx_matrixbezeichnungen,MATCH(Construction!$F$27,Oeko!$B$4:$B$10,0),MATCH(Construction!$K$9,Oeko!$C$3:$N$3,0))),MATCH(S24,Oeko!$C$26:$C$298,0),MATCH(S$25,Oeko!$D$24:$DS$24,0)),1)</f>
        <v>1</v>
      </c>
      <c r="T28" s="2179">
        <f ca="1">IF(L26,INDEX(INDIRECT(INDEX(mx_matrixbezeichnungen,MATCH(Construction!$F27,Oeko!$B$4:$B$10,0),MATCH(Construction!$L$9,Oeko!$C$3:$N$3,0))),MATCH(T24,Oeko!$C$26:$C$298,0),MATCH(T$25,Oeko!$D$24:$DS$24,0)),1)</f>
        <v>1</v>
      </c>
      <c r="U28" s="2244">
        <f ca="1">IF(L26,INDEX(INDIRECT(INDEX(mx_matrixbezeichnungen,MATCH(Construction!$F27,Oeko!$B$4:$B$10,0),MATCH(Construction!$L$9,Oeko!$C$3:$N$3,0))),MATCH(U24,Oeko!$C$26:$C$298,0),MATCH(U$25,Oeko!$D$24:$DS$24,0)),1)</f>
        <v>1</v>
      </c>
      <c r="V28" s="2074">
        <f ca="1">IF(L26,INDEX(INDIRECT(INDEX(mx_matrixbezeichnungen,MATCH(Construction!$F27,Oeko!$B$4:$B$10,0),MATCH(Construction!$M$9,Oeko!$C$3:$N$3,0))),MATCH(V24,Oeko!$C$26:$C$298,0),MATCH(V$25,Oeko!$D$24:$DS$24,0)),1)</f>
        <v>1</v>
      </c>
      <c r="W28" s="2241">
        <f ca="1">IF(L26,INDEX(INDIRECT(INDEX(mx_matrixbezeichnungen,MATCH(Construction!$F27,Oeko!$B$4:$B$10,0),MATCH(Construction!$M$9,Oeko!$C$3:$N$3,0))),MATCH(W24,Oeko!$C$26:$C$298,0),MATCH(W$25,Oeko!$D$24:$DS$24,0)),1)</f>
        <v>1</v>
      </c>
      <c r="X28" s="2179">
        <f ca="1">IF(L26,INDEX(INDIRECT(INDEX(mx_matrixbezeichnungen,MATCH(Construction!$F27,Oeko!$B$4:$B$10,0),MATCH(Construction!$N$9,Oeko!$C$3:$N$3,0))),MATCH(X24,Oeko!$C$26:$C$298,0),MATCH(X$25,Oeko!$D$24:$DS$24,0)),1)</f>
        <v>1</v>
      </c>
      <c r="Y28" s="2179">
        <f ca="1">IF(L26,INDEX(INDIRECT(INDEX(mx_matrixbezeichnungen,MATCH(Construction!$F27,Oeko!$B$4:$B$10,0),MATCH(Construction!$N$9,Oeko!$C$3:$N$3,0))),MATCH(Y24,Oeko!$C$26:$C$298,0),MATCH(Y$25,Oeko!$D$24:$DS$24,0)),1)</f>
        <v>1</v>
      </c>
      <c r="Z28" s="2155" t="s">
        <v>4604</v>
      </c>
      <c r="AA28" s="1948" t="s">
        <v>4155</v>
      </c>
      <c r="AB28" s="2305" t="s">
        <v>4156</v>
      </c>
      <c r="AC28" s="3072" t="s">
        <v>4157</v>
      </c>
      <c r="AD28" s="3073"/>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10" t="str">
        <f>Uebersetzung!D614</f>
        <v>Proportion de fenêtres</v>
      </c>
      <c r="C29" s="3011"/>
      <c r="D29" s="2177" t="s">
        <v>2484</v>
      </c>
      <c r="E29" s="2167" t="str">
        <f t="shared" si="4"/>
        <v/>
      </c>
      <c r="F29" s="3018"/>
      <c r="G29" s="3019"/>
      <c r="H29" s="3019"/>
      <c r="I29" s="3020"/>
      <c r="J29" s="2176"/>
      <c r="K29" s="2174">
        <f>IF(OR(AlleZonenNeu=FALSE,F29=""),1,VLOOKUP(F29,Oeko!U9:W20,3,FALSE))</f>
        <v>1</v>
      </c>
      <c r="L29" s="2106" t="b">
        <f t="shared" si="6"/>
        <v>0</v>
      </c>
      <c r="M29" s="2175" t="b">
        <f t="shared" si="5"/>
        <v>0</v>
      </c>
      <c r="P29" s="1236"/>
      <c r="Q29" s="2122" t="s">
        <v>4035</v>
      </c>
      <c r="R29" s="2074">
        <f ca="1">IF(L25,INDEX(INDIRECT(INDEX(mx_matrixbezeichnungen,MATCH(Construction!$F$27,Oeko!$B$4:$B$10,0),MATCH(Construction!$K$9,Oeko!$C$3:$N$3,0))),MATCH($F25,Oeko!$C$26:$C$298,0),MATCH(R$25,Oeko!$D$24:$DS$24,0)),1)</f>
        <v>1</v>
      </c>
      <c r="S29" s="2241">
        <f ca="1">IF(L25,INDEX(INDIRECT(INDEX(mx_matrixbezeichnungen,MATCH(Construction!$F$27,Oeko!$B$4:$B$10,0),MATCH(Construction!$K$9,Oeko!$C$3:$N$3,0))),MATCH($F25,Oeko!$C$26:$C$298,0),MATCH(S$25,Oeko!$D$24:$DS$24,0)),1)</f>
        <v>1</v>
      </c>
      <c r="T29" s="2179">
        <f ca="1">IF(L25,INDEX(INDIRECT(INDEX(mx_matrixbezeichnungen,MATCH(Construction!$F27,Oeko!$B$4:$B$10,0),MATCH(Construction!$L$9,Oeko!$C$3:$N$3,0))),MATCH($F25,Oeko!$C$26:$C$298,0),MATCH(T$25,Oeko!$D$24:$DS$24,0)),1)</f>
        <v>1</v>
      </c>
      <c r="U29" s="2244">
        <f ca="1">IF(L25,INDEX(INDIRECT(INDEX(mx_matrixbezeichnungen,MATCH(Construction!$F27,Oeko!$B$4:$B$10,0),MATCH(Construction!$L$9,Oeko!$C$3:$N$3,0))),MATCH($F25,Oeko!$C$26:$C$298,0),MATCH(U$25,Oeko!$D$24:$DS$24,0)),1)</f>
        <v>1</v>
      </c>
      <c r="V29" s="2074">
        <f ca="1">IF(L25,INDEX(INDIRECT(INDEX(mx_matrixbezeichnungen,MATCH(Construction!$F27,Oeko!$B$4:$B$10,0),MATCH(Construction!$M$9,Oeko!$C$3:$N$3,0))),MATCH($F25,Oeko!$C$26:$C$298,0),MATCH(V$25,Oeko!$D$24:$DS$24,0)),1)</f>
        <v>1</v>
      </c>
      <c r="W29" s="2241">
        <f ca="1">IF(L25,INDEX(INDIRECT(INDEX(mx_matrixbezeichnungen,MATCH(Construction!$F27,Oeko!$B$4:$B$10,0),MATCH(Construction!$M$9,Oeko!$C$3:$N$3,0))),MATCH($F25,Oeko!$C$26:$C$298,0),MATCH(W$25,Oeko!$D$24:$DS$24,0)),1)</f>
        <v>1</v>
      </c>
      <c r="X29" s="2179">
        <f ca="1">IF(L25,INDEX(INDIRECT(INDEX(mx_matrixbezeichnungen,MATCH(Construction!$F27,Oeko!$B$4:$B$10,0),MATCH(Construction!$N$9,Oeko!$C$3:$N$3,0))),MATCH($F25,Oeko!$C$26:$C$298,0),MATCH(X$25,Oeko!$D$24:$DS$24,0)),1)</f>
        <v>1</v>
      </c>
      <c r="Y29" s="2179">
        <f ca="1">IF(L25,INDEX(INDIRECT(INDEX(mx_matrixbezeichnungen,MATCH(Construction!$F27,Oeko!$B$4:$B$10,0),MATCH(Construction!$N$9,Oeko!$C$3:$N$3,0))),MATCH($F25,Oeko!$C$26:$C$298,0),MATCH(Y$25,Oeko!$D$24:$DS$24,0)),1)</f>
        <v>1</v>
      </c>
      <c r="Z29" s="2155" t="s">
        <v>4604</v>
      </c>
      <c r="AA29" s="2302">
        <v>7390</v>
      </c>
      <c r="AB29" s="2303">
        <v>2080</v>
      </c>
      <c r="AC29" s="3074">
        <v>30</v>
      </c>
      <c r="AD29" s="3075"/>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Epaisseur des dalles</v>
      </c>
      <c r="C30" s="2406"/>
      <c r="D30" s="2178"/>
      <c r="E30" s="2167" t="str">
        <f t="shared" si="4"/>
        <v/>
      </c>
      <c r="F30" s="3018"/>
      <c r="G30" s="3019"/>
      <c r="H30" s="3019"/>
      <c r="I30" s="3020"/>
      <c r="J30" s="2176"/>
      <c r="K30" s="2174">
        <f>IF(OR(AlleZonenNeu=FALSE,F30=""),1,VLOOKUP(F30,Oeko!U3:W5,3,FALSE))</f>
        <v>1</v>
      </c>
      <c r="L30" s="2106" t="b">
        <f t="shared" si="6"/>
        <v>0</v>
      </c>
      <c r="M30" s="2175" t="b">
        <f t="shared" si="5"/>
        <v>0</v>
      </c>
      <c r="P30" s="1236"/>
      <c r="Q30" s="2122" t="s">
        <v>4036</v>
      </c>
      <c r="R30" s="2074">
        <f ca="1">IF(L24,INDEX(INDIRECT(INDEX(mx_matrixbezeichnungen,MATCH(Construction!$F$27,Oeko!$B$4:$B$10,0),MATCH(Construction!$K$9,Oeko!$C$3:$N$3,0))),MATCH($F24,Oeko!$C$26:$C$298,0),MATCH(R$25,Oeko!$D$24:$DS$24,0)),1)</f>
        <v>1</v>
      </c>
      <c r="S30" s="2241">
        <f ca="1">IF(L24,INDEX(INDIRECT(INDEX(mx_matrixbezeichnungen,MATCH(Construction!$F$27,Oeko!$B$4:$B$10,0),MATCH(Construction!$K$9,Oeko!$C$3:$N$3,0))),MATCH($F24,Oeko!$C$26:$C$298,0),MATCH(S$25,Oeko!$D$24:$DS$24,0)),1)</f>
        <v>1</v>
      </c>
      <c r="T30" s="2179">
        <f ca="1">IF(L24,INDEX(INDIRECT(INDEX(mx_matrixbezeichnungen,MATCH(Construction!$F27,Oeko!$B$4:$B$10,0),MATCH(Construction!$L$9,Oeko!$C$3:$N$3,0))),MATCH($F24,Oeko!$C$26:$C$298,0),MATCH(T$25,Oeko!$D$24:$DS$24,0)),1)</f>
        <v>1</v>
      </c>
      <c r="U30" s="2244">
        <f ca="1">IF(L24,INDEX(INDIRECT(INDEX(mx_matrixbezeichnungen,MATCH(Construction!$F27,Oeko!$B$4:$B$10,0),MATCH(Construction!$L$9,Oeko!$C$3:$N$3,0))),MATCH($F24,Oeko!$C$26:$C$298,0),MATCH(U$25,Oeko!$D$24:$DS$24,0)),1)</f>
        <v>1</v>
      </c>
      <c r="V30" s="2074">
        <f ca="1">IF(L24,INDEX(INDIRECT(INDEX(mx_matrixbezeichnungen,MATCH(Construction!$F27,Oeko!$B$4:$B$10,0),MATCH(Construction!$M$9,Oeko!$C$3:$N$3,0))),MATCH($F24,Oeko!$C$26:$C$298,0),MATCH(V$25,Oeko!$D$24:$DS$24,0)),1)</f>
        <v>1</v>
      </c>
      <c r="W30" s="2241">
        <f ca="1">IF(L24,INDEX(INDIRECT(INDEX(mx_matrixbezeichnungen,MATCH(Construction!$F27,Oeko!$B$4:$B$10,0),MATCH(Construction!$M$9,Oeko!$C$3:$N$3,0))),MATCH($F24,Oeko!$C$26:$C$298,0),MATCH(W$25,Oeko!$D$24:$DS$24,0)),1)</f>
        <v>1</v>
      </c>
      <c r="X30" s="2179">
        <f ca="1">IF(L24,INDEX(INDIRECT(INDEX(mx_matrixbezeichnungen,MATCH(Construction!$F27,Oeko!$B$4:$B$10,0),MATCH(Construction!$N$9,Oeko!$C$3:$N$3,0))),MATCH($F24,Oeko!$C$26:$C$298,0),MATCH(X$25,Oeko!$D$24:$DS$24,0)),1)</f>
        <v>1</v>
      </c>
      <c r="Y30" s="2179">
        <f ca="1">IF(L24,INDEX(INDIRECT(INDEX(mx_matrixbezeichnungen,MATCH(Construction!$F27,Oeko!$B$4:$B$10,0),MATCH(Construction!$N$9,Oeko!$C$3:$N$3,0))),MATCH($F24,Oeko!$C$26:$C$298,0),MATCH(Y$25,Oeko!$D$24:$DS$24,0)),1)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Emploi de béton enrichi en CO2</v>
      </c>
      <c r="C31" s="2180"/>
      <c r="D31" s="2159"/>
      <c r="E31" s="2181" t="str">
        <f t="shared" si="4"/>
        <v/>
      </c>
      <c r="F31" s="3021"/>
      <c r="G31" s="3022"/>
      <c r="H31" s="3022"/>
      <c r="I31" s="3023"/>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76" t="s">
        <v>4141</v>
      </c>
      <c r="AB31" s="3077"/>
      <c r="AC31" s="3077"/>
      <c r="AD31" s="3078"/>
      <c r="AG31" s="2106" t="str">
        <f>Uebersetzung!D559</f>
        <v>Minergie avec SIA 380/1:2016</v>
      </c>
      <c r="AH31" s="2090"/>
      <c r="AI31" s="2131" t="str">
        <f>IF(Entrées!E14="","",IF(OR(Entrées!E14=Construction!AG31,Entrées!E14=Construction!AG32),"ME","ME-P/A"))</f>
        <v>ME-P/A</v>
      </c>
      <c r="AK31" s="1236"/>
      <c r="AL31" s="1236"/>
      <c r="AM31" s="1236"/>
      <c r="AN31" s="1236"/>
      <c r="AO31" s="1236"/>
      <c r="AQ31" s="1236"/>
      <c r="AT31" s="1236"/>
    </row>
    <row r="32" spans="1:46" s="2089" customFormat="1" ht="18.75" customHeight="1">
      <c r="A32" s="2184"/>
      <c r="B32" s="2185"/>
      <c r="C32" s="2090"/>
      <c r="D32" s="2090"/>
      <c r="E32" s="2090"/>
      <c r="F32" s="3024"/>
      <c r="G32" s="3024"/>
      <c r="H32" s="3024"/>
      <c r="I32" s="3024"/>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avec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Respect des exigences:</v>
      </c>
      <c r="C33" s="2190"/>
      <c r="D33" s="2190"/>
      <c r="E33" s="2190"/>
      <c r="F33" s="3025" t="str">
        <f>Uebersetzung!D680</f>
        <v>Valeur indidactive GES Construction</v>
      </c>
      <c r="G33" s="3026"/>
      <c r="H33" s="3027" t="str">
        <f>Uebersetzung!D295</f>
        <v>Valeur calculée</v>
      </c>
      <c r="I33" s="3026"/>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08" t="str">
        <f>Uebersetzung!D656</f>
        <v>Emissions de gaz à effet de serre</v>
      </c>
      <c r="C34" s="3009"/>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04" t="str">
        <f>Uebersetzung!D657</f>
        <v>Energie grise</v>
      </c>
      <c r="C35" s="3005"/>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06" t="str">
        <f>Uebersetzung!D654</f>
        <v>Carbone stocké</v>
      </c>
      <c r="C36" s="3007"/>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Visualisation des GES pendant la construction</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Emissions de gaz à effet de serre</v>
      </c>
      <c r="C41" s="1600">
        <f>H34</f>
        <v>0</v>
      </c>
      <c r="D41" s="1236">
        <v>0</v>
      </c>
      <c r="E41" s="1600">
        <f>F34</f>
        <v>0</v>
      </c>
      <c r="F41" s="1488">
        <v>1</v>
      </c>
      <c r="G41" s="2083"/>
      <c r="H41" s="2087"/>
      <c r="I41" s="2087"/>
      <c r="J41" s="2113"/>
      <c r="R41" s="2089"/>
      <c r="T41" s="2211"/>
    </row>
    <row r="42" spans="1:46" ht="20.25" customHeight="1">
      <c r="A42" s="2083"/>
      <c r="B42" s="1236" t="str">
        <f>B36</f>
        <v>Carbone stocké</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Carbone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03"/>
      <c r="D58" s="3003"/>
      <c r="E58" s="3003"/>
      <c r="F58" s="2083"/>
    </row>
    <row r="59" spans="2:6">
      <c r="B59" s="2083"/>
      <c r="C59" s="3003"/>
      <c r="D59" s="3003"/>
      <c r="E59" s="3003"/>
      <c r="F59" s="2083"/>
    </row>
    <row r="60" spans="2:6">
      <c r="B60" s="2083"/>
      <c r="C60" s="3003"/>
      <c r="D60" s="3003"/>
      <c r="E60" s="3003"/>
      <c r="F60" s="2083"/>
    </row>
    <row r="61" spans="2:6">
      <c r="B61" s="2083"/>
      <c r="C61" s="3003"/>
      <c r="D61" s="3003"/>
      <c r="E61" s="3003"/>
      <c r="F61" s="2083"/>
    </row>
    <row r="62" spans="2:6">
      <c r="B62" s="2083"/>
      <c r="C62" s="3003"/>
      <c r="D62" s="3003"/>
      <c r="E62" s="3003"/>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Ampleur de l'intervention dans le toit</v>
      </c>
      <c r="C65" s="2110"/>
      <c r="D65" s="2110"/>
      <c r="E65" s="2110"/>
      <c r="F65" s="2077"/>
      <c r="G65" s="2077"/>
      <c r="H65" s="2077"/>
      <c r="I65" s="2077"/>
      <c r="J65" s="2121"/>
    </row>
    <row r="66" spans="1:10" hidden="1">
      <c r="A66" s="2108" t="str">
        <f>IF(B66&lt;&gt;"","T"&amp;ROW(),"")</f>
        <v>T66</v>
      </c>
      <c r="B66" s="2219" t="str">
        <f>Uebersetzung!D621</f>
        <v>Ampleur de l'intervention dans la façade</v>
      </c>
      <c r="C66" s="2159"/>
      <c r="D66" s="2159"/>
      <c r="E66" s="2159"/>
      <c r="F66" s="2078"/>
      <c r="G66" s="2078"/>
      <c r="H66" s="2078"/>
      <c r="I66" s="2078"/>
      <c r="J66" s="2220"/>
    </row>
    <row r="67" spans="1:10" hidden="1">
      <c r="A67" s="2108" t="str">
        <f>IF(B67&lt;&gt;"","T"&amp;ROW(),"")</f>
        <v>T67</v>
      </c>
      <c r="B67" s="2219" t="str">
        <f>Uebersetzung!D622</f>
        <v>Ampleur de l'intervention dans l'extension</v>
      </c>
      <c r="C67" s="2159"/>
      <c r="D67" s="2159"/>
      <c r="E67" s="2159"/>
      <c r="F67" s="2078"/>
      <c r="G67" s="2078"/>
      <c r="H67" s="2078"/>
      <c r="I67" s="2078"/>
      <c r="J67" s="2220"/>
    </row>
    <row r="68" spans="1:10" hidden="1">
      <c r="A68" s="2108" t="str">
        <f>IF(B68&lt;&gt;"","T"&amp;ROW(),"")</f>
        <v>T68</v>
      </c>
      <c r="B68" s="2219" t="str">
        <f>Uebersetzung!D623</f>
        <v>Remplacement des fenêtres</v>
      </c>
      <c r="C68" s="2159"/>
      <c r="D68" s="2159"/>
      <c r="E68" s="2221" t="s">
        <v>2484</v>
      </c>
      <c r="F68" s="2078"/>
      <c r="G68" s="2078"/>
      <c r="H68" s="2078"/>
      <c r="I68" s="2078"/>
      <c r="J68" s="2220"/>
    </row>
    <row r="69" spans="1:10" hidden="1">
      <c r="A69" s="2108" t="str">
        <f>IF(B69&lt;&gt;"","T"&amp;ROW(),"")</f>
        <v>T69</v>
      </c>
      <c r="B69" s="2115" t="str">
        <f>Uebersetzung!D624</f>
        <v>Ampleur de l'intervention sur les installations techniques</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95" t="s">
        <v>4100</v>
      </c>
      <c r="Q2" s="3095"/>
      <c r="R2" s="3095"/>
      <c r="S2" s="3095"/>
      <c r="U2" s="1820" t="s">
        <v>4032</v>
      </c>
      <c r="V2" s="708"/>
      <c r="W2" s="1892"/>
    </row>
    <row r="3" spans="2:207">
      <c r="B3" s="1893"/>
      <c r="C3" s="1894" t="str">
        <f>$AN$9</f>
        <v>Habitat collectif</v>
      </c>
      <c r="D3" s="1894" t="str">
        <f>$AN$10</f>
        <v>Habitat individuel</v>
      </c>
      <c r="E3" s="1894" t="str">
        <f>$AN$11</f>
        <v>Administration</v>
      </c>
      <c r="F3" s="1894" t="str">
        <f>$AN$12</f>
        <v>Ecole</v>
      </c>
      <c r="G3" s="1894" t="str">
        <f>$AN$13</f>
        <v>Commerce</v>
      </c>
      <c r="H3" s="1894" t="str">
        <f>$AN$14</f>
        <v>Restaurant</v>
      </c>
      <c r="I3" s="1894" t="str">
        <f>$AN$15</f>
        <v>Lieu de rassemblement</v>
      </c>
      <c r="J3" s="1894" t="str">
        <f>$AN$16</f>
        <v>Hôpital</v>
      </c>
      <c r="K3" s="1894" t="str">
        <f>$AN$17</f>
        <v>Industrie</v>
      </c>
      <c r="L3" s="1894" t="str">
        <f>$AN$18</f>
        <v>Entrepôt</v>
      </c>
      <c r="M3" s="1894" t="str">
        <f>$AN$19</f>
        <v>Installation sportive</v>
      </c>
      <c r="N3" s="1895" t="str">
        <f>$AN$20</f>
        <v>Piscine couverte</v>
      </c>
      <c r="P3" s="1896">
        <v>1</v>
      </c>
      <c r="Q3" s="1897">
        <v>2</v>
      </c>
      <c r="R3" s="1897">
        <v>3</v>
      </c>
      <c r="S3" s="1898">
        <v>4</v>
      </c>
      <c r="U3" s="1899"/>
      <c r="V3" s="1900"/>
      <c r="W3" s="1901">
        <v>1</v>
      </c>
    </row>
    <row r="4" spans="2:207">
      <c r="B4" s="1902" t="str">
        <f t="shared" ref="B4:B10" si="0">$S13</f>
        <v>Contruction massive lourde</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Epaisseur des dalles &lt;= 24 cm</v>
      </c>
      <c r="W4" s="1901">
        <v>2</v>
      </c>
      <c r="AN4" s="1892"/>
      <c r="AO4" s="1892"/>
      <c r="AP4" s="1892"/>
    </row>
    <row r="5" spans="2:207">
      <c r="B5" s="1912" t="str">
        <f t="shared" si="0"/>
        <v>Contruction massive légère</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Epaisseur des dalles &gt; 24 cm</v>
      </c>
      <c r="W5" s="1901">
        <v>3</v>
      </c>
      <c r="AN5" s="1892"/>
      <c r="AO5" s="1892"/>
      <c r="AP5" s="1892"/>
    </row>
    <row r="6" spans="2:207">
      <c r="B6" s="1912" t="str">
        <f t="shared" si="0"/>
        <v>Construction en bois lourde</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MIN(2.5,MAX(ROUNDUP(Construction!K13,1),Construction!R11))</f>
        <v>#VALUE!</v>
      </c>
      <c r="AW6" s="1921"/>
      <c r="AX6" s="1919" t="e">
        <f>IF(AX7=4,VLOOKUP(AY6,$BC$9:$BE$20,3),IF(AX7=3,VLOOKUP(AY6,$AZ$9:$BB$20,3),IF(AX7=2,VLOOKUP(AY6,$AW$9:$AY$20,3),VLOOKUP(AY6,$AT$9:$AV$20,3))))</f>
        <v>#VALUE!</v>
      </c>
      <c r="AY6" s="1920" t="e">
        <f>MIN(2.5,MAX(ROUNDUP(Construction!L13,1),Construction!T11))</f>
        <v>#VALUE!</v>
      </c>
      <c r="AZ6" s="1921"/>
      <c r="BA6" s="1919" t="e">
        <f>IF(BA7=4,VLOOKUP(BB6,$BC$9:$BE$20,3),IF(BA7=3,VLOOKUP(BB6,$AZ$9:$BB$20,3),IF(BA7=2,VLOOKUP(BB6,$AW$9:$AY$20,3),VLOOKUP(BB6,$AT$9:$AV$20,3))))</f>
        <v>#VALUE!</v>
      </c>
      <c r="BB6" s="1922" t="e">
        <f>MIN(2.5,MAX(ROUNDUP(Construction!M13,1),Construction!V11))</f>
        <v>#VALUE!</v>
      </c>
      <c r="BC6" s="1923"/>
      <c r="BD6" s="1919" t="e">
        <f>IF(BD7=4,VLOOKUP(BE6,$BC$9:$BE$20,3),IF(BD7=3,VLOOKUP(BE6,$AZ$9:$BB$20,3),IF(BD7=2,VLOOKUP(BE6,$AW$9:$AY$20,3),VLOOKUP(BE6,$AT$9:$AV$20,3))))</f>
        <v>#VALUE!</v>
      </c>
      <c r="BE6" s="1922" t="e">
        <f>MIN(2.5,MAX(ROUNDUP(Construction!N13,1),Construction!X11))</f>
        <v>#VALUE!</v>
      </c>
      <c r="BF6" s="1914"/>
      <c r="BG6" s="1914"/>
      <c r="BH6" s="1914"/>
    </row>
    <row r="7" spans="2:207">
      <c r="B7" s="1912" t="str">
        <f t="shared" si="0"/>
        <v>Construction en bois légère</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96"/>
      <c r="T7" s="3096"/>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Construction hybride</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Proportion de fenêtres</v>
      </c>
      <c r="V8" s="1935">
        <f>IF(OR(Kategorie1&gt;7,Kategorie2&gt;7,Kategorie3&gt;7,Kategorie4&gt;7,Kategorie1=6,Kategorie2=6,Kategorie3=6,Kategorie4=6),2,1)</f>
        <v>1</v>
      </c>
      <c r="AN8" s="1943" t="s">
        <v>4177</v>
      </c>
      <c r="AO8" s="1904" t="s">
        <v>4158</v>
      </c>
      <c r="AP8" s="1904" t="s">
        <v>4159</v>
      </c>
      <c r="AQ8" s="1944" t="s">
        <v>4178</v>
      </c>
      <c r="AS8" s="1941" t="s">
        <v>4175</v>
      </c>
      <c r="AT8" s="3097">
        <v>1</v>
      </c>
      <c r="AU8" s="3098"/>
      <c r="AV8" s="3099"/>
      <c r="AW8" s="3100">
        <v>2</v>
      </c>
      <c r="AX8" s="3101"/>
      <c r="AY8" s="3102"/>
      <c r="AZ8" s="3100">
        <v>3</v>
      </c>
      <c r="BA8" s="3101"/>
      <c r="BB8" s="3102"/>
      <c r="BC8" s="3092">
        <v>4</v>
      </c>
      <c r="BD8" s="3093"/>
      <c r="BE8" s="3094"/>
      <c r="BF8" s="1942">
        <v>1</v>
      </c>
      <c r="BG8" s="1914" t="s">
        <v>4176</v>
      </c>
      <c r="BH8" s="1914"/>
    </row>
    <row r="9" spans="2:207" ht="12.6" customHeight="1">
      <c r="B9" s="1912" t="str">
        <f t="shared" si="0"/>
        <v>Construction vitrée</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Habitat collectif</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Habitat collectif</v>
      </c>
      <c r="BH9" s="1942">
        <v>1</v>
      </c>
    </row>
    <row r="10" spans="2:207" ht="12.6" customHeight="1">
      <c r="B10" s="1953" t="str">
        <f t="shared" si="0"/>
        <v>Construction métallique</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Habitat individuel</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Habitat individuel</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76" t="s">
        <v>4210</v>
      </c>
      <c r="AG11" s="3078"/>
      <c r="AI11" s="1256" t="s">
        <v>4191</v>
      </c>
      <c r="AJ11" s="1960"/>
      <c r="AK11" s="1960"/>
      <c r="AL11" s="2395"/>
      <c r="AN11" s="1913" t="str">
        <f>Uebersetzung!D84</f>
        <v>Administration</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Administration</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Ecole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Ecole</v>
      </c>
      <c r="BH12" s="1942">
        <v>1</v>
      </c>
    </row>
    <row r="13" spans="2:207">
      <c r="B13" s="1964"/>
      <c r="C13" s="1894" t="str">
        <f>$AN$9</f>
        <v>Habitat collectif</v>
      </c>
      <c r="D13" s="1894" t="str">
        <f>$AN$10</f>
        <v>Habitat individuel</v>
      </c>
      <c r="E13" s="1894" t="str">
        <f>$AN$11</f>
        <v>Administration</v>
      </c>
      <c r="F13" s="1894" t="str">
        <f>$AN$12</f>
        <v>Ecole</v>
      </c>
      <c r="G13" s="1894" t="str">
        <f>$AN$13</f>
        <v>Commerce</v>
      </c>
      <c r="H13" s="1894" t="str">
        <f>$AN$14</f>
        <v>Restaurant</v>
      </c>
      <c r="I13" s="1894" t="str">
        <f>$AN$15</f>
        <v>Lieu de rassemblement</v>
      </c>
      <c r="J13" s="1894" t="str">
        <f>$AN$16</f>
        <v>Hôpital</v>
      </c>
      <c r="K13" s="1894" t="str">
        <f>$AN$17</f>
        <v>Industrie</v>
      </c>
      <c r="L13" s="1894" t="str">
        <f>$AN$18</f>
        <v>Entrepôt</v>
      </c>
      <c r="M13" s="1894" t="str">
        <f>$AN$19</f>
        <v>Installation sportive</v>
      </c>
      <c r="N13" s="1895" t="str">
        <f>$AN$20</f>
        <v>Piscine couverte</v>
      </c>
      <c r="O13" s="1892"/>
      <c r="P13" s="1965" t="str">
        <f>IF(AlleZonenNeu,IF(Kategorie0=3,$S13,IF(Kategorie2=2,$R13,$Q13)),"")</f>
        <v/>
      </c>
      <c r="Q13" s="1966" t="str">
        <f>S13</f>
        <v>Contruction massive lourde</v>
      </c>
      <c r="R13" s="1966" t="str">
        <f>S13</f>
        <v>Contruction massive lourde</v>
      </c>
      <c r="S13" s="1966" t="str">
        <f>Uebersetzung!$D630</f>
        <v>Contruction massive lourde</v>
      </c>
      <c r="T13" s="1946">
        <v>2</v>
      </c>
      <c r="U13" s="1956" t="str">
        <f t="shared" si="1"/>
        <v/>
      </c>
      <c r="V13" s="1956">
        <v>30</v>
      </c>
      <c r="W13" s="2405">
        <f>IF($V$8=1,8,5)</f>
        <v>8</v>
      </c>
      <c r="Y13" s="1967" t="str">
        <f>IF(AlleZonenNeu,Z13,"")</f>
        <v/>
      </c>
      <c r="Z13" s="1968" t="str">
        <f>Uebersetzung!D625</f>
        <v>Pas de sous-sol</v>
      </c>
      <c r="AA13" s="1969" t="s">
        <v>4213</v>
      </c>
      <c r="AB13" s="1946">
        <v>2</v>
      </c>
      <c r="AC13" s="1967" t="str">
        <f>IF(AlleZonenNeu,AD13,"")</f>
        <v/>
      </c>
      <c r="AD13" s="1970" t="str">
        <f>Uebersetzung!D637</f>
        <v>Fondation superficielle</v>
      </c>
      <c r="AE13" s="1946">
        <v>2</v>
      </c>
      <c r="AF13" s="1967" t="str">
        <f t="shared" ref="AF13:AF18" si="2">IF(AlleZonenNeu,AG13,"")</f>
        <v/>
      </c>
      <c r="AG13" s="1915" t="str">
        <f>Uebersetzung!D642</f>
        <v>Talus</v>
      </c>
      <c r="AH13" s="1946">
        <v>2</v>
      </c>
      <c r="AI13" s="1910" t="str">
        <f>IF(AlleZonenNeu,AJ13,"")</f>
        <v/>
      </c>
      <c r="AJ13" s="1971" t="str">
        <f>Uebersetzung!D648</f>
        <v>petites portées</v>
      </c>
      <c r="AK13" s="1614" t="s">
        <v>4214</v>
      </c>
      <c r="AL13" s="1972" t="s">
        <v>4215</v>
      </c>
      <c r="AM13" s="1946">
        <v>2</v>
      </c>
      <c r="AN13" s="1913" t="str">
        <f>Uebersetzung!D86</f>
        <v>Commerce</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Commerce</v>
      </c>
      <c r="BH13" s="1942">
        <v>1</v>
      </c>
    </row>
    <row r="14" spans="2:207">
      <c r="B14" s="1902" t="str">
        <f t="shared" ref="B14:B20" si="3">$S13</f>
        <v>Contruction massive lourde</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Contruction massive légère</v>
      </c>
      <c r="R14" s="1966" t="str">
        <f t="shared" ref="R14:R18" si="5">S14</f>
        <v>Contruction massive légère</v>
      </c>
      <c r="S14" s="1966" t="str">
        <f>Uebersetzung!$D631</f>
        <v>Contruction massive légère</v>
      </c>
      <c r="T14" s="1946">
        <v>3</v>
      </c>
      <c r="U14" s="1956" t="str">
        <f t="shared" si="1"/>
        <v/>
      </c>
      <c r="V14" s="1956">
        <v>40</v>
      </c>
      <c r="W14" s="2405">
        <f>IF($V$8=1,9,6)</f>
        <v>9</v>
      </c>
      <c r="Y14" s="1967" t="str">
        <f>IF(AlleZonenNeu,Z14,"")</f>
        <v/>
      </c>
      <c r="Z14" s="1968" t="str">
        <f>Uebersetzung!D626</f>
        <v>Sous-sol plus petit que la surface bâtie du bâtiment</v>
      </c>
      <c r="AA14" s="1969" t="s">
        <v>4231</v>
      </c>
      <c r="AB14" s="1946">
        <v>3</v>
      </c>
      <c r="AC14" s="1967" t="str">
        <f>IF(AlleZonenNeu,AD14,"")</f>
        <v/>
      </c>
      <c r="AD14" s="1970" t="str">
        <f>Uebersetzung!D638</f>
        <v>Micro-pieux</v>
      </c>
      <c r="AE14" s="1946">
        <v>3</v>
      </c>
      <c r="AF14" s="1967" t="str">
        <f t="shared" si="2"/>
        <v/>
      </c>
      <c r="AG14" s="1915" t="str">
        <f>Uebersetzung!D643</f>
        <v>Paroi de pieux forés</v>
      </c>
      <c r="AH14" s="1946">
        <v>3</v>
      </c>
      <c r="AI14" s="1910" t="str">
        <f>IF(AlleZonenNeu,AJ14,"")</f>
        <v/>
      </c>
      <c r="AJ14" s="1971" t="str">
        <f>Uebersetzung!D649</f>
        <v>portées modérées</v>
      </c>
      <c r="AK14" s="1614" t="s">
        <v>4232</v>
      </c>
      <c r="AL14" s="1972" t="s">
        <v>4233</v>
      </c>
      <c r="AM14" s="1946">
        <v>3</v>
      </c>
      <c r="AN14" s="1913" t="str">
        <f>Uebersetzung!D87</f>
        <v>Restaurant</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Contruction massive légère</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Construction en bois lourde</v>
      </c>
      <c r="R15" s="1966" t="str">
        <f t="shared" si="5"/>
        <v>Construction en bois lourde</v>
      </c>
      <c r="S15" s="1966" t="str">
        <f>Uebersetzung!$D632</f>
        <v>Construction en bois lourde</v>
      </c>
      <c r="T15" s="1946">
        <v>4</v>
      </c>
      <c r="U15" s="1956" t="str">
        <f t="shared" si="1"/>
        <v/>
      </c>
      <c r="V15" s="1956">
        <v>50</v>
      </c>
      <c r="W15" s="2405">
        <f>IF($V$8=1,10,7)</f>
        <v>10</v>
      </c>
      <c r="Y15" s="1967" t="str">
        <f>IF(AlleZonenNeu,Z15,"")</f>
        <v/>
      </c>
      <c r="Z15" s="1968" t="str">
        <f>Uebersetzung!D627</f>
        <v>Sous-sol intégré dans la surface bâtie du bâtiment</v>
      </c>
      <c r="AA15" s="1969" t="s">
        <v>4246</v>
      </c>
      <c r="AB15" s="1946">
        <v>4</v>
      </c>
      <c r="AC15" s="1967" t="str">
        <f>IF(AlleZonenNeu,AD15,"")</f>
        <v/>
      </c>
      <c r="AD15" s="1970" t="str">
        <f>Uebersetzung!D639</f>
        <v>Pieux en béton coulé sur place</v>
      </c>
      <c r="AE15" s="1946">
        <v>4</v>
      </c>
      <c r="AF15" s="1967" t="str">
        <f t="shared" si="2"/>
        <v/>
      </c>
      <c r="AG15" s="1915" t="str">
        <f>Uebersetzung!D644</f>
        <v>Paroi clouée</v>
      </c>
      <c r="AH15" s="1946">
        <v>4</v>
      </c>
      <c r="AI15" s="1910" t="str">
        <f>IF(AlleZonenNeu,AJ15,"")</f>
        <v/>
      </c>
      <c r="AJ15" s="1971" t="str">
        <f>Uebersetzung!D650</f>
        <v>portées moyennes</v>
      </c>
      <c r="AK15" s="1614" t="s">
        <v>4247</v>
      </c>
      <c r="AL15" s="1972" t="s">
        <v>4248</v>
      </c>
      <c r="AM15" s="1946">
        <v>4</v>
      </c>
      <c r="AN15" s="1913" t="str">
        <f>Uebersetzung!D88</f>
        <v>Lieu de rassemblement</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Lieu de rassemblement</v>
      </c>
      <c r="BH15" s="1942">
        <v>4</v>
      </c>
    </row>
    <row r="16" spans="2:207">
      <c r="B16" s="1912" t="str">
        <f t="shared" si="3"/>
        <v>Construction en bois lourde</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Construction en bois légère</v>
      </c>
      <c r="R16" s="1966" t="str">
        <f t="shared" si="5"/>
        <v>Construction en bois légère</v>
      </c>
      <c r="S16" s="1966" t="str">
        <f>Uebersetzung!$D633</f>
        <v>Construction en bois légère</v>
      </c>
      <c r="T16" s="1946">
        <v>5</v>
      </c>
      <c r="U16" s="1956" t="str">
        <f t="shared" si="1"/>
        <v/>
      </c>
      <c r="V16" s="1956">
        <v>60</v>
      </c>
      <c r="W16" s="2405">
        <f>IF($V$8=1,11,8)</f>
        <v>11</v>
      </c>
      <c r="Y16" s="1967" t="str">
        <f>IF(AlleZonenNeu,Z16,"")</f>
        <v/>
      </c>
      <c r="Z16" s="1968" t="str">
        <f>Uebersetzung!D628</f>
        <v>Sous-sol partiellement hors de la surface bâtie du bâtiment</v>
      </c>
      <c r="AA16" s="1969" t="s">
        <v>4261</v>
      </c>
      <c r="AB16" s="1946">
        <v>5</v>
      </c>
      <c r="AC16" s="1967" t="str">
        <f>IF(AlleZonenNeu,AD16,"")</f>
        <v/>
      </c>
      <c r="AD16" s="1970" t="str">
        <f>Uebersetzung!D640</f>
        <v>Colonnes ballastées</v>
      </c>
      <c r="AE16" s="1946">
        <v>5</v>
      </c>
      <c r="AF16" s="1967" t="str">
        <f t="shared" si="2"/>
        <v/>
      </c>
      <c r="AG16" s="1915" t="str">
        <f>Uebersetzung!D645</f>
        <v>Paroi berlinoise</v>
      </c>
      <c r="AH16" s="1946">
        <v>5</v>
      </c>
      <c r="AI16" s="1910" t="str">
        <f>IF(AlleZonenNeu,AJ16,"")</f>
        <v/>
      </c>
      <c r="AJ16" s="1971" t="str">
        <f>Uebersetzung!D651</f>
        <v>portes accrues</v>
      </c>
      <c r="AK16" s="1614" t="s">
        <v>4262</v>
      </c>
      <c r="AL16" s="1972" t="s">
        <v>4263</v>
      </c>
      <c r="AM16" s="1946">
        <v>5</v>
      </c>
      <c r="AN16" s="1913" t="str">
        <f>Uebersetzung!D89</f>
        <v>Hôpital</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Hôpital</v>
      </c>
      <c r="BH16" s="1942">
        <v>1</v>
      </c>
      <c r="GY16" s="1974"/>
    </row>
    <row r="17" spans="1:297">
      <c r="B17" s="1912" t="str">
        <f t="shared" si="3"/>
        <v>Construction en bois légère</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Construction hybride</v>
      </c>
      <c r="R17" s="1966" t="str">
        <f t="shared" si="5"/>
        <v>Construction hybride</v>
      </c>
      <c r="S17" s="1966" t="str">
        <f>Uebersetzung!$D634</f>
        <v>Construction hybride</v>
      </c>
      <c r="T17" s="1946">
        <v>6</v>
      </c>
      <c r="U17" s="1956" t="str">
        <f t="shared" si="1"/>
        <v/>
      </c>
      <c r="V17" s="1956">
        <v>70</v>
      </c>
      <c r="W17" s="2405">
        <f>IF($V$8=1,12,9)</f>
        <v>12</v>
      </c>
      <c r="Y17" s="1976" t="str">
        <f>IF(AlleZonenNeu,Z17,"")</f>
        <v/>
      </c>
      <c r="Z17" s="1977" t="str">
        <f>Uebersetzung!D629</f>
        <v>Sous-sol partiellement nettement plus grand que la surface bâtie du bâtiment</v>
      </c>
      <c r="AA17" s="1978" t="s">
        <v>4276</v>
      </c>
      <c r="AB17" s="1946">
        <v>6</v>
      </c>
      <c r="AC17" s="1976" t="str">
        <f>IF(AlleZonenNeu,AD17,"")</f>
        <v/>
      </c>
      <c r="AD17" s="1909" t="str">
        <f>Uebersetzung!D641</f>
        <v>Pieu en béton préfabriqué (battus)</v>
      </c>
      <c r="AE17" s="1946">
        <v>6</v>
      </c>
      <c r="AF17" s="1967" t="str">
        <f t="shared" si="2"/>
        <v/>
      </c>
      <c r="AG17" s="1915" t="str">
        <f>Uebersetzung!D646</f>
        <v>Paroi moulée</v>
      </c>
      <c r="AH17" s="1946">
        <v>6</v>
      </c>
      <c r="AI17" s="1916" t="str">
        <f>IF(AlleZonenNeu,AJ17,"")</f>
        <v/>
      </c>
      <c r="AJ17" s="1985" t="str">
        <f>Uebersetzung!D652</f>
        <v>grands portées</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Construction hybride</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Construction vitrée</v>
      </c>
      <c r="S18" s="1966" t="str">
        <f>Uebersetzung!$D635</f>
        <v>Construction vitrée</v>
      </c>
      <c r="T18" s="1946">
        <v>7</v>
      </c>
      <c r="U18" s="1956" t="str">
        <f>IF(AlleZonenNeu,IF($V$8=1,"",V18),"")</f>
        <v/>
      </c>
      <c r="V18" s="1956">
        <v>80</v>
      </c>
      <c r="W18" s="2405">
        <f>IF($V$8=1,1,10)</f>
        <v>1</v>
      </c>
      <c r="AF18" s="1976" t="str">
        <f t="shared" si="2"/>
        <v/>
      </c>
      <c r="AG18" s="1982" t="str">
        <f>Uebersetzung!D647</f>
        <v>Palplanches</v>
      </c>
      <c r="AH18" s="1946">
        <v>7</v>
      </c>
      <c r="AN18" s="1913" t="str">
        <f>Uebersetzung!D91</f>
        <v>Entrepôt</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Entrepôt</v>
      </c>
      <c r="BH18" s="1942">
        <v>1</v>
      </c>
    </row>
    <row r="19" spans="1:297">
      <c r="B19" s="1912" t="str">
        <f t="shared" si="3"/>
        <v>Construction vitrée</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Construction métallique</v>
      </c>
      <c r="T19" s="1946">
        <v>8</v>
      </c>
      <c r="U19" s="1956" t="str">
        <f>IF(AlleZonenNeu,IF($V$8=1,"",V19),"")</f>
        <v/>
      </c>
      <c r="V19" s="1956">
        <v>90</v>
      </c>
      <c r="W19" s="2405">
        <f>IF($V$8=1,1,11)</f>
        <v>1</v>
      </c>
      <c r="AN19" s="1913" t="str">
        <f>Uebersetzung!D92</f>
        <v>Installation sportive</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Installation sportive</v>
      </c>
      <c r="BH19" s="1942">
        <v>1</v>
      </c>
    </row>
    <row r="20" spans="1:297">
      <c r="B20" s="1953" t="str">
        <f t="shared" si="3"/>
        <v>Construction métallique</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Piscine couverte</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Piscine couverte</v>
      </c>
      <c r="BH20" s="1942">
        <v>3</v>
      </c>
    </row>
    <row r="21" spans="1:297" ht="66" customHeight="1">
      <c r="A21" s="1995" t="s">
        <v>4318</v>
      </c>
      <c r="P21" s="1996" t="s">
        <v>4319</v>
      </c>
      <c r="Q21" s="1996" t="s">
        <v>333</v>
      </c>
      <c r="R21" s="1996" t="s">
        <v>4320</v>
      </c>
      <c r="S21" s="1996" t="s">
        <v>4321</v>
      </c>
      <c r="AS21" s="1914"/>
      <c r="AT21" s="3086" t="s">
        <v>4322</v>
      </c>
      <c r="AU21" s="3087"/>
      <c r="AV21" s="3088"/>
      <c r="AW21" s="3089" t="s">
        <v>333</v>
      </c>
      <c r="AX21" s="3090"/>
      <c r="AY21" s="3091"/>
      <c r="AZ21" s="3089" t="s">
        <v>4323</v>
      </c>
      <c r="BA21" s="3090"/>
      <c r="BB21" s="3091"/>
      <c r="BC21" s="3086" t="s">
        <v>831</v>
      </c>
      <c r="BD21" s="3087"/>
      <c r="BE21" s="3088"/>
      <c r="BF21" s="1914"/>
      <c r="BG21" s="1914"/>
      <c r="BH21" s="1914"/>
      <c r="GS21" s="1995"/>
    </row>
    <row r="23" spans="1:297">
      <c r="A23" s="1962"/>
      <c r="B23" s="1962"/>
      <c r="C23" s="1962" t="s">
        <v>4324</v>
      </c>
      <c r="D23" s="1962" t="str">
        <f>$AN$9</f>
        <v>Habitat collectif</v>
      </c>
      <c r="E23" s="1962"/>
      <c r="F23" s="1962"/>
      <c r="G23" s="1962"/>
      <c r="H23" s="1962"/>
      <c r="I23" s="1962"/>
      <c r="J23" s="1962"/>
      <c r="K23" s="1962"/>
      <c r="L23" s="1962"/>
      <c r="M23" s="1962"/>
      <c r="N23" s="1926" t="str">
        <f>$AN$10</f>
        <v>Habitat individuel</v>
      </c>
      <c r="O23" s="1962"/>
      <c r="P23" s="1962"/>
      <c r="Q23" s="1962"/>
      <c r="R23" s="1962"/>
      <c r="S23" s="1962"/>
      <c r="T23" s="1962"/>
      <c r="U23" s="1962"/>
      <c r="V23" s="1962"/>
      <c r="W23" s="1962"/>
      <c r="X23" s="1926" t="str">
        <f>$AN$11</f>
        <v>Administration</v>
      </c>
      <c r="Y23" s="1962"/>
      <c r="Z23" s="1962"/>
      <c r="AA23" s="1962"/>
      <c r="AB23" s="1962"/>
      <c r="AC23" s="1962"/>
      <c r="AD23" s="1962"/>
      <c r="AE23" s="1962"/>
      <c r="AF23" s="1962"/>
      <c r="AG23" s="1962"/>
      <c r="AH23" s="1926" t="str">
        <f>$AN$12</f>
        <v>Ecole</v>
      </c>
      <c r="AI23" s="1962"/>
      <c r="AJ23" s="1962"/>
      <c r="AK23" s="1962"/>
      <c r="AL23" s="1962"/>
      <c r="AM23" s="1962"/>
      <c r="AN23" s="1962"/>
      <c r="AO23" s="1962"/>
      <c r="AP23" s="1962"/>
      <c r="AQ23" s="1962"/>
      <c r="AR23" s="1926" t="str">
        <f>$AN$13</f>
        <v>Commerce</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Lieu de rassemblement</v>
      </c>
      <c r="BM23" s="1962"/>
      <c r="BN23" s="1962"/>
      <c r="BO23" s="1962"/>
      <c r="BP23" s="1962"/>
      <c r="BQ23" s="1962"/>
      <c r="BR23" s="1962"/>
      <c r="BS23" s="1962"/>
      <c r="BT23" s="1962"/>
      <c r="BU23" s="1962"/>
      <c r="BV23" s="1926" t="str">
        <f>$AN$16</f>
        <v>Hôpital</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Entrepôt</v>
      </c>
      <c r="CQ23" s="1962"/>
      <c r="CR23" s="1962"/>
      <c r="CS23" s="1962"/>
      <c r="CT23" s="1962"/>
      <c r="CU23" s="1962"/>
      <c r="CV23" s="1962"/>
      <c r="CW23" s="1962"/>
      <c r="CX23" s="1962"/>
      <c r="CY23" s="1962"/>
      <c r="CZ23" s="1926" t="str">
        <f>$AN$19</f>
        <v>Installation sportive</v>
      </c>
      <c r="DA23" s="1962"/>
      <c r="DB23" s="1962"/>
      <c r="DC23" s="1962"/>
      <c r="DD23" s="1962"/>
      <c r="DE23" s="1962"/>
      <c r="DF23" s="1962"/>
      <c r="DG23" s="1962"/>
      <c r="DH23" s="1962"/>
      <c r="DI23" s="1962"/>
      <c r="DJ23" s="1926" t="str">
        <f>$AN$20</f>
        <v>Piscine couverte</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Contruction massive lourde</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Proportion de fenêtres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Proportion de fenêtres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Proportion de fenêtres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Proportion de fenêtres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Proportion de fenêtres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Proportion de fenêtres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Proportion de fenêtres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Proportion de fenêtres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Proportion de fenêtres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Proportion de fenêtres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Proportion de fenêtres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Fondation superficielle</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Micro-pieux</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Pieux en béton coulé sur place</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Colonnes ballastées</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Pieu en béton préfabriqué (battus)</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Contruction massive légère</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Proportion de fenêtres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Proportion de fenêtres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Proportion de fenêtres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Proportion de fenêtres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Proportion de fenêtres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Proportion de fenêtres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Proportion de fenêtres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Proportion de fenêtres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Proportion de fenêtres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Proportion de fenêtres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Proportion de fenêtres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Fondation superficielle</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Micro-pieux</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Pieux en béton coulé sur place</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Colonnes ballastées</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Pieu en béton préfabriqué (battus)</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Construction hybride</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Proportion de fenêtres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Proportion de fenêtres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Proportion de fenêtres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Proportion de fenêtres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Proportion de fenêtres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Proportion de fenêtres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Proportion de fenêtres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Proportion de fenêtres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Proportion de fenêtres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Proportion de fenêtres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Proportion de fenêtres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Fondation superficielle</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Micro-pieux</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Pieux en béton coulé sur place</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Colonnes ballastées</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Pieu en béton préfabriqué (battus)</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Construction en bois lourde</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Proportion de fenêtres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Proportion de fenêtres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Proportion de fenêtres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Proportion de fenêtres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Proportion de fenêtres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Proportion de fenêtres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Proportion de fenêtres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Proportion de fenêtres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Proportion de fenêtres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Proportion de fenêtres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Proportion de fenêtres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Fondation superficielle</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Micro-pieux</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Pieux en béton coulé sur place</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Colonnes ballastées</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Pieu en béton préfabriqué (battus)</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Construction en bois légère</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Proportion de fenêtres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Proportion de fenêtres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Proportion de fenêtres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Proportion de fenêtres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Proportion de fenêtres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Proportion de fenêtres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Proportion de fenêtres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Proportion de fenêtres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Proportion de fenêtres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Proportion de fenêtres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Proportion de fenêtres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Fondation superficielle</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Micro-pieux</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Pieux en béton coulé sur place</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Colonnes ballastées</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Pieu en béton préfabriqué (battus)</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Construction métallique</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Proportion de fenêtres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Proportion de fenêtres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Proportion de fenêtres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Proportion de fenêtres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Proportion de fenêtres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Proportion de fenêtres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Proportion de fenêtres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Proportion de fenêtres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Proportion de fenêtres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Proportion de fenêtres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Proportion de fenêtres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Fondation superficielle</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Micro-pieux</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Pieux en béton coulé sur place</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Colonnes ballastées</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Pieu en béton préfabriqué (battus)</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Construction vitrée</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Proportion de fenêtres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Proportion de fenêtres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Proportion de fenêtres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Proportion de fenêtres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Proportion de fenêtres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Proportion de fenêtres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Proportion de fenêtres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Proportion de fenêtres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Proportion de fenêtres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Proportion de fenêtres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Proportion de fenêtres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Fondation superficielle</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Micro-pieux</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Pieux en béton coulé sur place</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Colonnes ballastées</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Pieu en béton préfabriqué (battus)</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Habitat collectif</v>
      </c>
      <c r="E304" s="2010"/>
      <c r="F304" s="2010"/>
      <c r="G304" s="2010"/>
      <c r="H304" s="2010"/>
      <c r="I304" s="2011" t="str">
        <f>$AN$10</f>
        <v>Habitat individuel</v>
      </c>
      <c r="J304" s="2010"/>
      <c r="K304" s="2010"/>
      <c r="L304" s="2010"/>
      <c r="M304" s="2010"/>
      <c r="N304" s="2011" t="str">
        <f>$AN$11</f>
        <v>Administration</v>
      </c>
      <c r="O304" s="2010"/>
      <c r="P304" s="2010"/>
      <c r="Q304" s="2010"/>
      <c r="R304" s="2010"/>
      <c r="S304" s="2011" t="str">
        <f>$AN$12</f>
        <v>Ecole</v>
      </c>
      <c r="T304" s="2010"/>
      <c r="U304" s="2010"/>
      <c r="V304" s="2010"/>
      <c r="W304" s="2010"/>
      <c r="X304" s="2011" t="str">
        <f>$AN$13</f>
        <v>Commerce</v>
      </c>
      <c r="Y304" s="2010"/>
      <c r="Z304" s="2010"/>
      <c r="AA304" s="2010"/>
      <c r="AB304" s="2010"/>
      <c r="AC304" s="2011" t="str">
        <f>$AN$14</f>
        <v>Restaurant</v>
      </c>
      <c r="AD304" s="2010"/>
      <c r="AE304" s="2010"/>
      <c r="AF304" s="2010"/>
      <c r="AG304" s="2010"/>
      <c r="AH304" s="2011" t="str">
        <f>$AN$15</f>
        <v>Lieu de rassemblement</v>
      </c>
      <c r="AI304" s="2010"/>
      <c r="AJ304" s="2010"/>
      <c r="AK304" s="2010"/>
      <c r="AL304" s="2010"/>
      <c r="AM304" s="2011" t="str">
        <f>$AN$16</f>
        <v>Hôpital</v>
      </c>
      <c r="AN304" s="2010"/>
      <c r="AO304" s="2010"/>
      <c r="AP304" s="2010"/>
      <c r="AQ304" s="2010"/>
      <c r="AR304" s="2011" t="str">
        <f>$AN$17</f>
        <v>Industrie</v>
      </c>
      <c r="AS304" s="2010"/>
      <c r="AT304" s="2010"/>
      <c r="AU304" s="2010"/>
      <c r="AV304" s="2010"/>
      <c r="AW304" s="2011" t="str">
        <f>$AN$18</f>
        <v>Entrepôt</v>
      </c>
      <c r="AX304" s="2010"/>
      <c r="AY304" s="2010"/>
      <c r="AZ304" s="2010"/>
      <c r="BA304" s="2010"/>
      <c r="BB304" s="2011" t="str">
        <f>$AN$19</f>
        <v>Installation sportive</v>
      </c>
      <c r="BC304" s="2010"/>
      <c r="BD304" s="2010"/>
      <c r="BE304" s="2010"/>
      <c r="BF304" s="2010"/>
      <c r="BG304" s="2011" t="str">
        <f>$AN$20</f>
        <v>Piscine couverte</v>
      </c>
      <c r="BH304" s="2010"/>
      <c r="BI304" s="2010"/>
      <c r="BJ304" s="2010"/>
      <c r="BK304" s="2012"/>
      <c r="BN304" s="2013"/>
      <c r="BO304" s="2014"/>
      <c r="BP304" s="2014" t="s">
        <v>4324</v>
      </c>
      <c r="BQ304" s="2014" t="str">
        <f>$AN$9</f>
        <v>Habitat collectif</v>
      </c>
      <c r="BR304" s="2014"/>
      <c r="BS304" s="2014"/>
      <c r="BT304" s="2014"/>
      <c r="BU304" s="2014"/>
      <c r="BV304" s="2015" t="str">
        <f>$AN$10</f>
        <v>Habitat individuel</v>
      </c>
      <c r="BW304" s="2014"/>
      <c r="BX304" s="2014"/>
      <c r="BY304" s="2014"/>
      <c r="BZ304" s="2014"/>
      <c r="CA304" s="2015" t="str">
        <f>$AN$11</f>
        <v>Administration</v>
      </c>
      <c r="CB304" s="2014"/>
      <c r="CC304" s="2014"/>
      <c r="CD304" s="2014"/>
      <c r="CE304" s="2014"/>
      <c r="CF304" s="2015" t="str">
        <f>$AN$12</f>
        <v>Ecole</v>
      </c>
      <c r="CG304" s="2014"/>
      <c r="CH304" s="2014"/>
      <c r="CI304" s="2014"/>
      <c r="CJ304" s="2014"/>
      <c r="CK304" s="2015" t="str">
        <f>$AN$13</f>
        <v>Commerce</v>
      </c>
      <c r="CL304" s="2014"/>
      <c r="CM304" s="2014"/>
      <c r="CN304" s="2014"/>
      <c r="CO304" s="2014"/>
      <c r="CP304" s="2015" t="str">
        <f>$AN$14</f>
        <v>Restaurant</v>
      </c>
      <c r="CQ304" s="2014"/>
      <c r="CR304" s="2014"/>
      <c r="CS304" s="2014"/>
      <c r="CT304" s="2014"/>
      <c r="CU304" s="2015" t="str">
        <f>$AN$15</f>
        <v>Lieu de rassemblement</v>
      </c>
      <c r="CV304" s="2014"/>
      <c r="CW304" s="2014"/>
      <c r="CX304" s="2014"/>
      <c r="CY304" s="2014"/>
      <c r="CZ304" s="2015" t="str">
        <f>$AN$16</f>
        <v>Hôpital</v>
      </c>
      <c r="DA304" s="2014"/>
      <c r="DB304" s="2014"/>
      <c r="DC304" s="2014"/>
      <c r="DD304" s="2014"/>
      <c r="DE304" s="2015" t="str">
        <f>$AN$17</f>
        <v>Industrie</v>
      </c>
      <c r="DF304" s="2014"/>
      <c r="DG304" s="2014"/>
      <c r="DH304" s="2014"/>
      <c r="DI304" s="2014"/>
      <c r="DJ304" s="2015" t="str">
        <f>$AN$18</f>
        <v>Entrepôt</v>
      </c>
      <c r="DK304" s="2014"/>
      <c r="DL304" s="2014"/>
      <c r="DM304" s="2014"/>
      <c r="DN304" s="2014"/>
      <c r="DO304" s="2015" t="str">
        <f>$AN$19</f>
        <v>Installation sportive</v>
      </c>
      <c r="DP304" s="2014"/>
      <c r="DQ304" s="2014"/>
      <c r="DR304" s="2014"/>
      <c r="DS304" s="2014"/>
      <c r="DT304" s="2" t="str">
        <f>$AN$20</f>
        <v>Piscine couverte</v>
      </c>
      <c r="EC304" s="2" t="s">
        <v>4324</v>
      </c>
      <c r="ED304" s="2" t="str">
        <f>$AN$9</f>
        <v>Habitat collectif</v>
      </c>
      <c r="EI304" s="2" t="str">
        <f>$AN$10</f>
        <v>Habitat individuel</v>
      </c>
      <c r="EN304" s="2" t="str">
        <f>$AN$11</f>
        <v>Administration</v>
      </c>
      <c r="ES304" s="2" t="str">
        <f>$AN$12</f>
        <v>Ecole</v>
      </c>
      <c r="EX304" s="2" t="str">
        <f>$AN$13</f>
        <v>Commerce</v>
      </c>
      <c r="FC304" s="2" t="str">
        <f>$AN$14</f>
        <v>Restaurant</v>
      </c>
      <c r="FH304" s="2" t="str">
        <f>$AN$15</f>
        <v>Lieu de rassemblement</v>
      </c>
      <c r="FM304" s="2" t="str">
        <f>$AN$16</f>
        <v>Hôpital</v>
      </c>
      <c r="FR304" s="2" t="str">
        <f>$AN$17</f>
        <v>Industrie</v>
      </c>
      <c r="FW304" s="2" t="str">
        <f>$AN$18</f>
        <v>Entrepôt</v>
      </c>
      <c r="GB304" s="2" t="str">
        <f>$AN$19</f>
        <v>Installation sportive</v>
      </c>
      <c r="GG304" s="2" t="str">
        <f>$AN$20</f>
        <v>Piscine couverte</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Contruction massive lourde</v>
      </c>
      <c r="B307" s="2">
        <v>1</v>
      </c>
      <c r="C307" s="2" t="s">
        <v>4329</v>
      </c>
      <c r="D307" s="1998">
        <f>IF(Construction!$F$31=Construction!$R$22,Oeko!BQ307,Oeko!ED307)</f>
        <v>1.09375</v>
      </c>
      <c r="E307" s="1998">
        <f>IF(Construction!$F$31=Construction!$R$22,Oeko!BR307,Oeko!EE307)</f>
        <v>1.09375</v>
      </c>
      <c r="F307" s="1998">
        <f>IF(Construction!$F$31=Construction!$R$22,Oeko!BS307,Oeko!EF307)</f>
        <v>1.09375</v>
      </c>
      <c r="G307" s="1998">
        <f>IF(Construction!$F$31=Construction!$R$22,Oeko!BT307,Oeko!EG307)</f>
        <v>1.09375</v>
      </c>
      <c r="H307" s="1998">
        <f>IF(Construction!$F$31=Construction!$R$22,Oeko!BU307,Oeko!EH307)</f>
        <v>1.09375</v>
      </c>
      <c r="I307" s="1979">
        <f>IF(Construction!$F$31=Construction!$R$22,Oeko!BV307,Oeko!EI307)</f>
        <v>1.5999999999999999</v>
      </c>
      <c r="J307" s="1979">
        <f>IF(Construction!$F$31=Construction!$R$22,Oeko!BW307,Oeko!EJ307)</f>
        <v>1.5999999999999999</v>
      </c>
      <c r="K307" s="1979">
        <f>IF(Construction!$F$31=Construction!$R$22,Oeko!BX307,Oeko!EK307)</f>
        <v>1.5999999999999999</v>
      </c>
      <c r="L307" s="1979">
        <f>IF(Construction!$F$31=Construction!$R$22,Oeko!BY307,Oeko!EL307)</f>
        <v>1.5999999999999999</v>
      </c>
      <c r="M307" s="1979">
        <f>IF(Construction!$F$31=Construction!$R$22,Oeko!BZ307,Oeko!EM307)</f>
        <v>1.5999999999999999</v>
      </c>
      <c r="N307" s="1998">
        <f>IF(Construction!$F$31=Construction!$R$22,Oeko!CA307,Oeko!EN307)</f>
        <v>1.0389610389610389</v>
      </c>
      <c r="O307" s="1998">
        <f>IF(Construction!$F$31=Construction!$R$22,Oeko!CB307,Oeko!EO307)</f>
        <v>1.0389610389610389</v>
      </c>
      <c r="P307" s="1998">
        <f>IF(Construction!$F$31=Construction!$R$22,Oeko!CC307,Oeko!EP307)</f>
        <v>1.0389610389610389</v>
      </c>
      <c r="Q307" s="1998">
        <f>IF(Construction!$F$31=Construction!$R$22,Oeko!CD307,Oeko!EQ307)</f>
        <v>1.0389610389610389</v>
      </c>
      <c r="R307" s="1998">
        <f>IF(Construction!$F$31=Construction!$R$22,Oeko!CE307,Oeko!ER307)</f>
        <v>1.0389610389610389</v>
      </c>
      <c r="S307" s="1979">
        <f>IF(Construction!$F$31=Construction!$R$22,Oeko!CF307,Oeko!ES307)</f>
        <v>1.3500000000000003</v>
      </c>
      <c r="T307" s="1979">
        <f>IF(Construction!$F$31=Construction!$R$22,Oeko!CG307,Oeko!ET307)</f>
        <v>1.3500000000000003</v>
      </c>
      <c r="U307" s="1979">
        <f>IF(Construction!$F$31=Construction!$R$22,Oeko!CH307,Oeko!EU307)</f>
        <v>1.3500000000000003</v>
      </c>
      <c r="V307" s="1979">
        <f>IF(Construction!$F$31=Construction!$R$22,Oeko!CI307,Oeko!EV307)</f>
        <v>1.3500000000000003</v>
      </c>
      <c r="W307" s="1979">
        <f>IF(Construction!$F$31=Construction!$R$22,Oeko!CJ307,Oeko!EW307)</f>
        <v>1.3500000000000003</v>
      </c>
      <c r="X307" s="1998">
        <f>IF(Construction!$F$31=Construction!$R$22,Oeko!CK307,Oeko!EX307)</f>
        <v>1.0285714285714285</v>
      </c>
      <c r="Y307" s="1998">
        <f>IF(Construction!$F$31=Construction!$R$22,Oeko!CL307,Oeko!EY307)</f>
        <v>1.0285714285714285</v>
      </c>
      <c r="Z307" s="1998">
        <f>IF(Construction!$F$31=Construction!$R$22,Oeko!CM307,Oeko!EZ307)</f>
        <v>1.0285714285714285</v>
      </c>
      <c r="AA307" s="1998">
        <f>IF(Construction!$F$31=Construction!$R$22,Oeko!CN307,Oeko!FA307)</f>
        <v>1.0285714285714285</v>
      </c>
      <c r="AB307" s="1998">
        <f>IF(Construction!$F$31=Construction!$R$22,Oeko!CO307,Oeko!FB307)</f>
        <v>1.0285714285714285</v>
      </c>
      <c r="AC307" s="1979">
        <f>IF(Construction!$F$31=Construction!$R$22,Oeko!CP307,Oeko!FC307)</f>
        <v>1.0000000000000002</v>
      </c>
      <c r="AD307" s="1979">
        <f>IF(Construction!$F$31=Construction!$R$22,Oeko!CQ307,Oeko!FD307)</f>
        <v>1.0000000000000002</v>
      </c>
      <c r="AE307" s="1979">
        <f>IF(Construction!$F$31=Construction!$R$22,Oeko!CR307,Oeko!FE307)</f>
        <v>1.0000000000000002</v>
      </c>
      <c r="AF307" s="1979">
        <f>IF(Construction!$F$31=Construction!$R$22,Oeko!CS307,Oeko!FF307)</f>
        <v>1.0000000000000002</v>
      </c>
      <c r="AG307" s="1979">
        <f>IF(Construction!$F$31=Construction!$R$22,Oeko!CT307,Oeko!FG307)</f>
        <v>1.0000000000000002</v>
      </c>
      <c r="AH307" s="1998">
        <f>IF(Construction!$F$31=Construction!$R$22,Oeko!CU307,Oeko!FH307)</f>
        <v>1.4999999999999998</v>
      </c>
      <c r="AI307" s="1998">
        <f>IF(Construction!$F$31=Construction!$R$22,Oeko!CV307,Oeko!FI307)</f>
        <v>1.4999999999999998</v>
      </c>
      <c r="AJ307" s="1998">
        <f>IF(Construction!$F$31=Construction!$R$22,Oeko!CW307,Oeko!FJ307)</f>
        <v>1.4999999999999998</v>
      </c>
      <c r="AK307" s="1998">
        <f>IF(Construction!$F$31=Construction!$R$22,Oeko!CX307,Oeko!FK307)</f>
        <v>1.4999999999999998</v>
      </c>
      <c r="AL307" s="1998">
        <f>IF(Construction!$F$31=Construction!$R$22,Oeko!CY307,Oeko!FL307)</f>
        <v>1.4999999999999998</v>
      </c>
      <c r="AM307" s="1979">
        <f>IF(Construction!$F$31=Construction!$R$22,Oeko!CZ307,Oeko!FM307)</f>
        <v>1.2222222222222223</v>
      </c>
      <c r="AN307" s="1979">
        <f>IF(Construction!$F$31=Construction!$R$22,Oeko!DA307,Oeko!FN307)</f>
        <v>1.2222222222222223</v>
      </c>
      <c r="AO307" s="1979">
        <f>IF(Construction!$F$31=Construction!$R$22,Oeko!DB307,Oeko!FO307)</f>
        <v>1.2222222222222223</v>
      </c>
      <c r="AP307" s="1979">
        <f>IF(Construction!$F$31=Construction!$R$22,Oeko!DC307,Oeko!FP307)</f>
        <v>1.2222222222222223</v>
      </c>
      <c r="AQ307" s="1979">
        <f>IF(Construction!$F$31=Construction!$R$22,Oeko!DD307,Oeko!FQ307)</f>
        <v>1.2222222222222223</v>
      </c>
      <c r="AR307" s="1998">
        <f>IF(Construction!$F$31=Construction!$R$22,Oeko!DE307,Oeko!FR307)</f>
        <v>13.798045313008366</v>
      </c>
      <c r="AS307" s="1998">
        <f>IF(Construction!$F$31=Construction!$R$22,Oeko!DF307,Oeko!FS307)</f>
        <v>13.798045313008366</v>
      </c>
      <c r="AT307" s="1998">
        <f>IF(Construction!$F$31=Construction!$R$22,Oeko!DG307,Oeko!FT307)</f>
        <v>13.798045313008366</v>
      </c>
      <c r="AU307" s="1998">
        <f>IF(Construction!$F$31=Construction!$R$22,Oeko!DH307,Oeko!FU307)</f>
        <v>13.798045313008366</v>
      </c>
      <c r="AV307" s="1998">
        <f>IF(Construction!$F$31=Construction!$R$22,Oeko!DI307,Oeko!FV307)</f>
        <v>13.798045313008366</v>
      </c>
      <c r="AW307" s="1979">
        <f>IF(Construction!$F$31=Construction!$R$22,Oeko!DJ307,Oeko!FW307)</f>
        <v>13.770696286005787</v>
      </c>
      <c r="AX307" s="1979">
        <f>IF(Construction!$F$31=Construction!$R$22,Oeko!DK307,Oeko!FX307)</f>
        <v>13.770696286005787</v>
      </c>
      <c r="AY307" s="1979">
        <f>IF(Construction!$F$31=Construction!$R$22,Oeko!DL307,Oeko!FY307)</f>
        <v>13.770696286005787</v>
      </c>
      <c r="AZ307" s="1979">
        <f>IF(Construction!$F$31=Construction!$R$22,Oeko!DM307,Oeko!FZ307)</f>
        <v>13.770696286005787</v>
      </c>
      <c r="BA307" s="1979">
        <f>IF(Construction!$F$31=Construction!$R$22,Oeko!DN307,Oeko!GA307)</f>
        <v>13.770696286005787</v>
      </c>
      <c r="BB307" s="1998">
        <f>IF(Construction!$F$31=Construction!$R$22,Oeko!DO307,Oeko!GB307)</f>
        <v>0.97975662301212196</v>
      </c>
      <c r="BC307" s="1998">
        <f>IF(Construction!$F$31=Construction!$R$22,Oeko!DP307,Oeko!GC307)</f>
        <v>0.97975662301212196</v>
      </c>
      <c r="BD307" s="1998">
        <f>IF(Construction!$F$31=Construction!$R$22,Oeko!DQ307,Oeko!GD307)</f>
        <v>0.97975662301212196</v>
      </c>
      <c r="BE307" s="1998">
        <f>IF(Construction!$F$31=Construction!$R$22,Oeko!DR307,Oeko!GE307)</f>
        <v>0.97975662301212196</v>
      </c>
      <c r="BF307" s="1998">
        <f>IF(Construction!$F$31=Construction!$R$22,Oeko!DS307,Oeko!GF307)</f>
        <v>0.97975662301212196</v>
      </c>
      <c r="BG307" s="1979">
        <f>IF(Construction!$F$31=Construction!$R$22,Oeko!DT307,Oeko!GG307)</f>
        <v>0.97614876347816082</v>
      </c>
      <c r="BH307" s="1979">
        <f>IF(Construction!$F$31=Construction!$R$22,Oeko!DU307,Oeko!GH307)</f>
        <v>0.97614876347816082</v>
      </c>
      <c r="BI307" s="1979">
        <f>IF(Construction!$F$31=Construction!$R$22,Oeko!DV307,Oeko!GI307)</f>
        <v>0.97614876347816082</v>
      </c>
      <c r="BJ307" s="1979">
        <f>IF(Construction!$F$31=Construction!$R$22,Oeko!DW307,Oeko!GJ307)</f>
        <v>0.97614876347816082</v>
      </c>
      <c r="BK307" s="2021">
        <f>IF(Construction!$F$31=Construction!$R$22,Oeko!DX307,Oeko!GK307)</f>
        <v>0.97614876347816082</v>
      </c>
      <c r="BN307" s="2022" t="str">
        <f>Uebersetzung!$D630</f>
        <v>Contruction massive lourde</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Contruction massive lourde</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IF(Construction!$F$31=Construction!$R$22,Oeko!BQ308,Oeko!ED308)</f>
        <v>1.09375</v>
      </c>
      <c r="E308" s="1998">
        <f>IF(Construction!$F$31=Construction!$R$22,Oeko!BR308,Oeko!EE308)</f>
        <v>1.0694444444444444</v>
      </c>
      <c r="F308" s="1998">
        <f>IF(Construction!$F$31=Construction!$R$22,Oeko!BS308,Oeko!EF308)</f>
        <v>1.0694444444444444</v>
      </c>
      <c r="G308" s="1998">
        <f>IF(Construction!$F$31=Construction!$R$22,Oeko!BT308,Oeko!EG308)</f>
        <v>1.0694444444444444</v>
      </c>
      <c r="H308" s="1998">
        <f>IF(Construction!$F$31=Construction!$R$22,Oeko!BU308,Oeko!EH308)</f>
        <v>1.0694444444444444</v>
      </c>
      <c r="I308" s="1979">
        <f>IF(Construction!$F$31=Construction!$R$22,Oeko!BV308,Oeko!EI308)</f>
        <v>1.5999999999999996</v>
      </c>
      <c r="J308" s="1979">
        <f>IF(Construction!$F$31=Construction!$R$22,Oeko!BW308,Oeko!EJ308)</f>
        <v>1.5999999999999996</v>
      </c>
      <c r="K308" s="1979">
        <f>IF(Construction!$F$31=Construction!$R$22,Oeko!BX308,Oeko!EK308)</f>
        <v>1.5999999999999996</v>
      </c>
      <c r="L308" s="1979">
        <f>IF(Construction!$F$31=Construction!$R$22,Oeko!BY308,Oeko!EL308)</f>
        <v>1.5999999999999996</v>
      </c>
      <c r="M308" s="1979">
        <f>IF(Construction!$F$31=Construction!$R$22,Oeko!BZ308,Oeko!EM308)</f>
        <v>1.5999999999999996</v>
      </c>
      <c r="N308" s="1998">
        <f>IF(Construction!$F$31=Construction!$R$22,Oeko!CA308,Oeko!EN308)</f>
        <v>1.0389610389610391</v>
      </c>
      <c r="O308" s="1998">
        <f>IF(Construction!$F$31=Construction!$R$22,Oeko!CB308,Oeko!EO308)</f>
        <v>1.0389610389610391</v>
      </c>
      <c r="P308" s="1998">
        <f>IF(Construction!$F$31=Construction!$R$22,Oeko!CC308,Oeko!EP308)</f>
        <v>1.0389610389610391</v>
      </c>
      <c r="Q308" s="1998">
        <f>IF(Construction!$F$31=Construction!$R$22,Oeko!CD308,Oeko!EQ308)</f>
        <v>1.0389610389610391</v>
      </c>
      <c r="R308" s="1998">
        <f>IF(Construction!$F$31=Construction!$R$22,Oeko!CE308,Oeko!ER308)</f>
        <v>1.0389610389610391</v>
      </c>
      <c r="S308" s="1979">
        <f>IF(Construction!$F$31=Construction!$R$22,Oeko!CF308,Oeko!ES308)</f>
        <v>1.3333333333333335</v>
      </c>
      <c r="T308" s="1979">
        <f>IF(Construction!$F$31=Construction!$R$22,Oeko!CG308,Oeko!ET308)</f>
        <v>1.3333333333333335</v>
      </c>
      <c r="U308" s="1979">
        <f>IF(Construction!$F$31=Construction!$R$22,Oeko!CH308,Oeko!EU308)</f>
        <v>1.3333333333333335</v>
      </c>
      <c r="V308" s="1979">
        <f>IF(Construction!$F$31=Construction!$R$22,Oeko!CI308,Oeko!EV308)</f>
        <v>1.3333333333333335</v>
      </c>
      <c r="W308" s="1979">
        <f>IF(Construction!$F$31=Construction!$R$22,Oeko!CJ308,Oeko!EW308)</f>
        <v>1.3333333333333335</v>
      </c>
      <c r="X308" s="1998">
        <f>IF(Construction!$F$31=Construction!$R$22,Oeko!CK308,Oeko!EX308)</f>
        <v>1.0285714285714285</v>
      </c>
      <c r="Y308" s="1998">
        <f>IF(Construction!$F$31=Construction!$R$22,Oeko!CL308,Oeko!EY308)</f>
        <v>1.0285714285714285</v>
      </c>
      <c r="Z308" s="1998">
        <f>IF(Construction!$F$31=Construction!$R$22,Oeko!CM308,Oeko!EZ308)</f>
        <v>1.0285714285714285</v>
      </c>
      <c r="AA308" s="1998">
        <f>IF(Construction!$F$31=Construction!$R$22,Oeko!CN308,Oeko!FA308)</f>
        <v>1.0285714285714285</v>
      </c>
      <c r="AB308" s="1998">
        <f>IF(Construction!$F$31=Construction!$R$22,Oeko!CO308,Oeko!FB308)</f>
        <v>1.0285714285714285</v>
      </c>
      <c r="AC308" s="1979">
        <f>IF(Construction!$F$31=Construction!$R$22,Oeko!CP308,Oeko!FC308)</f>
        <v>1.0000000000000002</v>
      </c>
      <c r="AD308" s="1979">
        <f>IF(Construction!$F$31=Construction!$R$22,Oeko!CQ308,Oeko!FD308)</f>
        <v>1.0000000000000002</v>
      </c>
      <c r="AE308" s="1979">
        <f>IF(Construction!$F$31=Construction!$R$22,Oeko!CR308,Oeko!FE308)</f>
        <v>1.0000000000000002</v>
      </c>
      <c r="AF308" s="1979">
        <f>IF(Construction!$F$31=Construction!$R$22,Oeko!CS308,Oeko!FF308)</f>
        <v>1.0000000000000002</v>
      </c>
      <c r="AG308" s="1979">
        <f>IF(Construction!$F$31=Construction!$R$22,Oeko!CT308,Oeko!FG308)</f>
        <v>1.0000000000000002</v>
      </c>
      <c r="AH308" s="1998">
        <f>IF(Construction!$F$31=Construction!$R$22,Oeko!CU308,Oeko!FH308)</f>
        <v>1.5</v>
      </c>
      <c r="AI308" s="1998">
        <f>IF(Construction!$F$31=Construction!$R$22,Oeko!CV308,Oeko!FI308)</f>
        <v>1.5</v>
      </c>
      <c r="AJ308" s="1998">
        <f>IF(Construction!$F$31=Construction!$R$22,Oeko!CW308,Oeko!FJ308)</f>
        <v>1.5</v>
      </c>
      <c r="AK308" s="1998">
        <f>IF(Construction!$F$31=Construction!$R$22,Oeko!CX308,Oeko!FK308)</f>
        <v>1.5</v>
      </c>
      <c r="AL308" s="1998">
        <f>IF(Construction!$F$31=Construction!$R$22,Oeko!CY308,Oeko!FL308)</f>
        <v>1.5</v>
      </c>
      <c r="AM308" s="1979">
        <f>IF(Construction!$F$31=Construction!$R$22,Oeko!CZ308,Oeko!FM308)</f>
        <v>1.2</v>
      </c>
      <c r="AN308" s="1979">
        <f>IF(Construction!$F$31=Construction!$R$22,Oeko!DA308,Oeko!FN308)</f>
        <v>1.2</v>
      </c>
      <c r="AO308" s="1979">
        <f>IF(Construction!$F$31=Construction!$R$22,Oeko!DB308,Oeko!FO308)</f>
        <v>1.2</v>
      </c>
      <c r="AP308" s="1979">
        <f>IF(Construction!$F$31=Construction!$R$22,Oeko!DC308,Oeko!FP308)</f>
        <v>1.2</v>
      </c>
      <c r="AQ308" s="1979">
        <f>IF(Construction!$F$31=Construction!$R$22,Oeko!DD308,Oeko!FQ308)</f>
        <v>1.2</v>
      </c>
      <c r="AR308" s="1998">
        <f>IF(Construction!$F$31=Construction!$R$22,Oeko!DE308,Oeko!FR308)</f>
        <v>13.414766276535909</v>
      </c>
      <c r="AS308" s="1998">
        <f>IF(Construction!$F$31=Construction!$R$22,Oeko!DF308,Oeko!FS308)</f>
        <v>13.414766276535909</v>
      </c>
      <c r="AT308" s="1998">
        <f>IF(Construction!$F$31=Construction!$R$22,Oeko!DG308,Oeko!FT308)</f>
        <v>13.414766276535909</v>
      </c>
      <c r="AU308" s="1998">
        <f>IF(Construction!$F$31=Construction!$R$22,Oeko!DH308,Oeko!FU308)</f>
        <v>13.414766276535909</v>
      </c>
      <c r="AV308" s="1998">
        <f>IF(Construction!$F$31=Construction!$R$22,Oeko!DI308,Oeko!FV308)</f>
        <v>13.414766276535909</v>
      </c>
      <c r="AW308" s="1979">
        <f>IF(Construction!$F$31=Construction!$R$22,Oeko!DJ308,Oeko!FW308)</f>
        <v>12.852649866938734</v>
      </c>
      <c r="AX308" s="1979">
        <f>IF(Construction!$F$31=Construction!$R$22,Oeko!DK308,Oeko!FX308)</f>
        <v>12.852649866938734</v>
      </c>
      <c r="AY308" s="1979">
        <f>IF(Construction!$F$31=Construction!$R$22,Oeko!DL308,Oeko!FY308)</f>
        <v>12.852649866938734</v>
      </c>
      <c r="AZ308" s="1979">
        <f>IF(Construction!$F$31=Construction!$R$22,Oeko!DM308,Oeko!FZ308)</f>
        <v>12.852649866938734</v>
      </c>
      <c r="BA308" s="1979">
        <f>IF(Construction!$F$31=Construction!$R$22,Oeko!DN308,Oeko!GA308)</f>
        <v>12.852649866938734</v>
      </c>
      <c r="BB308" s="1998">
        <f>IF(Construction!$F$31=Construction!$R$22,Oeko!DO308,Oeko!GB308)</f>
        <v>0.97975662301212174</v>
      </c>
      <c r="BC308" s="1998">
        <f>IF(Construction!$F$31=Construction!$R$22,Oeko!DP308,Oeko!GC308)</f>
        <v>0.97975662301212174</v>
      </c>
      <c r="BD308" s="1998">
        <f>IF(Construction!$F$31=Construction!$R$22,Oeko!DQ308,Oeko!GD308)</f>
        <v>0.97975662301212174</v>
      </c>
      <c r="BE308" s="1998">
        <f>IF(Construction!$F$31=Construction!$R$22,Oeko!DR308,Oeko!GE308)</f>
        <v>0.97975662301212174</v>
      </c>
      <c r="BF308" s="1998">
        <f>IF(Construction!$F$31=Construction!$R$22,Oeko!DS308,Oeko!GF308)</f>
        <v>0.97975662301212174</v>
      </c>
      <c r="BG308" s="1979">
        <f>IF(Construction!$F$31=Construction!$R$22,Oeko!DT308,Oeko!GG308)</f>
        <v>0.9761487634781606</v>
      </c>
      <c r="BH308" s="1979">
        <f>IF(Construction!$F$31=Construction!$R$22,Oeko!DU308,Oeko!GH308)</f>
        <v>0.9761487634781606</v>
      </c>
      <c r="BI308" s="1979">
        <f>IF(Construction!$F$31=Construction!$R$22,Oeko!DV308,Oeko!GI308)</f>
        <v>0.9761487634781606</v>
      </c>
      <c r="BJ308" s="1979">
        <f>IF(Construction!$F$31=Construction!$R$22,Oeko!DW308,Oeko!GJ308)</f>
        <v>0.9761487634781606</v>
      </c>
      <c r="BK308" s="2021">
        <f>IF(Construction!$F$31=Construction!$R$22,Oeko!DX308,Oeko!GK308)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IF(Construction!$F$31=Construction!$R$22,Oeko!BQ309,Oeko!ED309)</f>
        <v>1.09375</v>
      </c>
      <c r="E309" s="1998">
        <f>IF(Construction!$F$31=Construction!$R$22,Oeko!BR309,Oeko!EE309)</f>
        <v>1.0606060606060606</v>
      </c>
      <c r="F309" s="1998">
        <f>IF(Construction!$F$31=Construction!$R$22,Oeko!BS309,Oeko!EF309)</f>
        <v>1.0606060606060606</v>
      </c>
      <c r="G309" s="1998">
        <f>IF(Construction!$F$31=Construction!$R$22,Oeko!BT309,Oeko!EG309)</f>
        <v>1.0606060606060606</v>
      </c>
      <c r="H309" s="1998">
        <f>IF(Construction!$F$31=Construction!$R$22,Oeko!BU309,Oeko!EH309)</f>
        <v>1.0606060606060606</v>
      </c>
      <c r="I309" s="1979">
        <f>IF(Construction!$F$31=Construction!$R$22,Oeko!BV309,Oeko!EI309)</f>
        <v>1.5</v>
      </c>
      <c r="J309" s="1979">
        <f>IF(Construction!$F$31=Construction!$R$22,Oeko!BW309,Oeko!EJ309)</f>
        <v>1.5</v>
      </c>
      <c r="K309" s="1979">
        <f>IF(Construction!$F$31=Construction!$R$22,Oeko!BX309,Oeko!EK309)</f>
        <v>1.5</v>
      </c>
      <c r="L309" s="1979">
        <f>IF(Construction!$F$31=Construction!$R$22,Oeko!BY309,Oeko!EL309)</f>
        <v>1.5</v>
      </c>
      <c r="M309" s="1979">
        <f>IF(Construction!$F$31=Construction!$R$22,Oeko!BZ309,Oeko!EM309)</f>
        <v>1.5</v>
      </c>
      <c r="N309" s="1998">
        <f>IF(Construction!$F$31=Construction!$R$22,Oeko!CA309,Oeko!EN309)</f>
        <v>1.0285714285714287</v>
      </c>
      <c r="O309" s="1998">
        <f>IF(Construction!$F$31=Construction!$R$22,Oeko!CB309,Oeko!EO309)</f>
        <v>1.0285714285714287</v>
      </c>
      <c r="P309" s="1998">
        <f>IF(Construction!$F$31=Construction!$R$22,Oeko!CC309,Oeko!EP309)</f>
        <v>1.0285714285714287</v>
      </c>
      <c r="Q309" s="1998">
        <f>IF(Construction!$F$31=Construction!$R$22,Oeko!CD309,Oeko!EQ309)</f>
        <v>1.0285714285714287</v>
      </c>
      <c r="R309" s="1998">
        <f>IF(Construction!$F$31=Construction!$R$22,Oeko!CE309,Oeko!ER309)</f>
        <v>1.0285714285714287</v>
      </c>
      <c r="S309" s="1979">
        <f>IF(Construction!$F$31=Construction!$R$22,Oeko!CF309,Oeko!ES309)</f>
        <v>1.3125000000000002</v>
      </c>
      <c r="T309" s="1979">
        <f>IF(Construction!$F$31=Construction!$R$22,Oeko!CG309,Oeko!ET309)</f>
        <v>1.3125000000000002</v>
      </c>
      <c r="U309" s="1979">
        <f>IF(Construction!$F$31=Construction!$R$22,Oeko!CH309,Oeko!EU309)</f>
        <v>1.3125000000000002</v>
      </c>
      <c r="V309" s="1979">
        <f>IF(Construction!$F$31=Construction!$R$22,Oeko!CI309,Oeko!EV309)</f>
        <v>1.3125000000000002</v>
      </c>
      <c r="W309" s="1979">
        <f>IF(Construction!$F$31=Construction!$R$22,Oeko!CJ309,Oeko!EW309)</f>
        <v>1.3125000000000002</v>
      </c>
      <c r="X309" s="1998">
        <f>IF(Construction!$F$31=Construction!$R$22,Oeko!CK309,Oeko!EX309)</f>
        <v>0.99999999999999989</v>
      </c>
      <c r="Y309" s="1998">
        <f>IF(Construction!$F$31=Construction!$R$22,Oeko!CL309,Oeko!EY309)</f>
        <v>0.99999999999999989</v>
      </c>
      <c r="Z309" s="1998">
        <f>IF(Construction!$F$31=Construction!$R$22,Oeko!CM309,Oeko!EZ309)</f>
        <v>0.99999999999999989</v>
      </c>
      <c r="AA309" s="1998">
        <f>IF(Construction!$F$31=Construction!$R$22,Oeko!CN309,Oeko!FA309)</f>
        <v>0.99999999999999989</v>
      </c>
      <c r="AB309" s="1998">
        <f>IF(Construction!$F$31=Construction!$R$22,Oeko!CO309,Oeko!FB309)</f>
        <v>0.99999999999999989</v>
      </c>
      <c r="AC309" s="1979">
        <f>IF(Construction!$F$31=Construction!$R$22,Oeko!CP309,Oeko!FC309)</f>
        <v>1.0000000000000002</v>
      </c>
      <c r="AD309" s="1979">
        <f>IF(Construction!$F$31=Construction!$R$22,Oeko!CQ309,Oeko!FD309)</f>
        <v>1.0000000000000002</v>
      </c>
      <c r="AE309" s="1979">
        <f>IF(Construction!$F$31=Construction!$R$22,Oeko!CR309,Oeko!FE309)</f>
        <v>1.0000000000000002</v>
      </c>
      <c r="AF309" s="1979">
        <f>IF(Construction!$F$31=Construction!$R$22,Oeko!CS309,Oeko!FF309)</f>
        <v>1.0000000000000002</v>
      </c>
      <c r="AG309" s="1979">
        <f>IF(Construction!$F$31=Construction!$R$22,Oeko!CT309,Oeko!FG309)</f>
        <v>1.0000000000000002</v>
      </c>
      <c r="AH309" s="1998">
        <f>IF(Construction!$F$31=Construction!$R$22,Oeko!CU309,Oeko!FH309)</f>
        <v>1.5</v>
      </c>
      <c r="AI309" s="1998">
        <f>IF(Construction!$F$31=Construction!$R$22,Oeko!CV309,Oeko!FI309)</f>
        <v>1.5</v>
      </c>
      <c r="AJ309" s="1998">
        <f>IF(Construction!$F$31=Construction!$R$22,Oeko!CW309,Oeko!FJ309)</f>
        <v>1.5</v>
      </c>
      <c r="AK309" s="1998">
        <f>IF(Construction!$F$31=Construction!$R$22,Oeko!CX309,Oeko!FK309)</f>
        <v>1.5</v>
      </c>
      <c r="AL309" s="1998">
        <f>IF(Construction!$F$31=Construction!$R$22,Oeko!CY309,Oeko!FL309)</f>
        <v>1.5</v>
      </c>
      <c r="AM309" s="1979">
        <f>IF(Construction!$F$31=Construction!$R$22,Oeko!CZ309,Oeko!FM309)</f>
        <v>1.1428571428571428</v>
      </c>
      <c r="AN309" s="1979">
        <f>IF(Construction!$F$31=Construction!$R$22,Oeko!DA309,Oeko!FN309)</f>
        <v>1.1428571428571428</v>
      </c>
      <c r="AO309" s="1979">
        <f>IF(Construction!$F$31=Construction!$R$22,Oeko!DB309,Oeko!FO309)</f>
        <v>1.1428571428571428</v>
      </c>
      <c r="AP309" s="1979">
        <f>IF(Construction!$F$31=Construction!$R$22,Oeko!DC309,Oeko!FP309)</f>
        <v>1.1428571428571428</v>
      </c>
      <c r="AQ309" s="1979">
        <f>IF(Construction!$F$31=Construction!$R$22,Oeko!DD309,Oeko!FQ309)</f>
        <v>1.1428571428571428</v>
      </c>
      <c r="AR309" s="1998">
        <f>IF(Construction!$F$31=Construction!$R$22,Oeko!DE309,Oeko!FR309)</f>
        <v>12.878175625474475</v>
      </c>
      <c r="AS309" s="1998">
        <f>IF(Construction!$F$31=Construction!$R$22,Oeko!DF309,Oeko!FS309)</f>
        <v>12.878175625474475</v>
      </c>
      <c r="AT309" s="1998">
        <f>IF(Construction!$F$31=Construction!$R$22,Oeko!DG309,Oeko!FT309)</f>
        <v>12.878175625474475</v>
      </c>
      <c r="AU309" s="1998">
        <f>IF(Construction!$F$31=Construction!$R$22,Oeko!DH309,Oeko!FU309)</f>
        <v>12.878175625474475</v>
      </c>
      <c r="AV309" s="1998">
        <f>IF(Construction!$F$31=Construction!$R$22,Oeko!DI309,Oeko!FV309)</f>
        <v>12.878175625474475</v>
      </c>
      <c r="AW309" s="1979">
        <f>IF(Construction!$F$31=Construction!$R$22,Oeko!DJ309,Oeko!FW309)</f>
        <v>12.852649866938734</v>
      </c>
      <c r="AX309" s="1979">
        <f>IF(Construction!$F$31=Construction!$R$22,Oeko!DK309,Oeko!FX309)</f>
        <v>12.852649866938734</v>
      </c>
      <c r="AY309" s="1979">
        <f>IF(Construction!$F$31=Construction!$R$22,Oeko!DL309,Oeko!FY309)</f>
        <v>12.852649866938734</v>
      </c>
      <c r="AZ309" s="1979">
        <f>IF(Construction!$F$31=Construction!$R$22,Oeko!DM309,Oeko!FZ309)</f>
        <v>12.852649866938734</v>
      </c>
      <c r="BA309" s="1979">
        <f>IF(Construction!$F$31=Construction!$R$22,Oeko!DN309,Oeko!GA309)</f>
        <v>12.852649866938734</v>
      </c>
      <c r="BB309" s="1998">
        <f>IF(Construction!$F$31=Construction!$R$22,Oeko!DO309,Oeko!GB309)</f>
        <v>0.97975662301212196</v>
      </c>
      <c r="BC309" s="1998">
        <f>IF(Construction!$F$31=Construction!$R$22,Oeko!DP309,Oeko!GC309)</f>
        <v>0.97975662301212196</v>
      </c>
      <c r="BD309" s="1998">
        <f>IF(Construction!$F$31=Construction!$R$22,Oeko!DQ309,Oeko!GD309)</f>
        <v>0.97975662301212196</v>
      </c>
      <c r="BE309" s="1998">
        <f>IF(Construction!$F$31=Construction!$R$22,Oeko!DR309,Oeko!GE309)</f>
        <v>0.97975662301212196</v>
      </c>
      <c r="BF309" s="1998">
        <f>IF(Construction!$F$31=Construction!$R$22,Oeko!DS309,Oeko!GF309)</f>
        <v>0.97975662301212196</v>
      </c>
      <c r="BG309" s="1979">
        <f>IF(Construction!$F$31=Construction!$R$22,Oeko!DT309,Oeko!GG309)</f>
        <v>0.9761487634781606</v>
      </c>
      <c r="BH309" s="1979">
        <f>IF(Construction!$F$31=Construction!$R$22,Oeko!DU309,Oeko!GH309)</f>
        <v>0.9761487634781606</v>
      </c>
      <c r="BI309" s="1979">
        <f>IF(Construction!$F$31=Construction!$R$22,Oeko!DV309,Oeko!GI309)</f>
        <v>0.9761487634781606</v>
      </c>
      <c r="BJ309" s="1979">
        <f>IF(Construction!$F$31=Construction!$R$22,Oeko!DW309,Oeko!GJ309)</f>
        <v>0.9761487634781606</v>
      </c>
      <c r="BK309" s="2021">
        <f>IF(Construction!$F$31=Construction!$R$22,Oeko!DX309,Oeko!GK309)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IF(Construction!$F$31=Construction!$R$22,Oeko!BQ310,Oeko!ED310)</f>
        <v>1.09375</v>
      </c>
      <c r="E310" s="1998">
        <f>IF(Construction!$F$31=Construction!$R$22,Oeko!BR310,Oeko!EE310)</f>
        <v>1.0606060606060606</v>
      </c>
      <c r="F310" s="1998">
        <f>IF(Construction!$F$31=Construction!$R$22,Oeko!BS310,Oeko!EF310)</f>
        <v>1.0606060606060606</v>
      </c>
      <c r="G310" s="1998">
        <f>IF(Construction!$F$31=Construction!$R$22,Oeko!BT310,Oeko!EG310)</f>
        <v>1.0606060606060606</v>
      </c>
      <c r="H310" s="1998">
        <f>IF(Construction!$F$31=Construction!$R$22,Oeko!BU310,Oeko!EH310)</f>
        <v>1.0606060606060606</v>
      </c>
      <c r="I310" s="1979">
        <f>IF(Construction!$F$31=Construction!$R$22,Oeko!BV310,Oeko!EI310)</f>
        <v>1.5</v>
      </c>
      <c r="J310" s="1979">
        <f>IF(Construction!$F$31=Construction!$R$22,Oeko!BW310,Oeko!EJ310)</f>
        <v>1.5</v>
      </c>
      <c r="K310" s="1979">
        <f>IF(Construction!$F$31=Construction!$R$22,Oeko!BX310,Oeko!EK310)</f>
        <v>1.5</v>
      </c>
      <c r="L310" s="1979">
        <f>IF(Construction!$F$31=Construction!$R$22,Oeko!BY310,Oeko!EL310)</f>
        <v>1.5</v>
      </c>
      <c r="M310" s="1979">
        <f>IF(Construction!$F$31=Construction!$R$22,Oeko!BZ310,Oeko!EM310)</f>
        <v>1.5</v>
      </c>
      <c r="N310" s="1998">
        <f>IF(Construction!$F$31=Construction!$R$22,Oeko!CA310,Oeko!EN310)</f>
        <v>1.0158730158730158</v>
      </c>
      <c r="O310" s="1998">
        <f>IF(Construction!$F$31=Construction!$R$22,Oeko!CB310,Oeko!EO310)</f>
        <v>1.0158730158730158</v>
      </c>
      <c r="P310" s="1998">
        <f>IF(Construction!$F$31=Construction!$R$22,Oeko!CC310,Oeko!EP310)</f>
        <v>1.0158730158730158</v>
      </c>
      <c r="Q310" s="1998">
        <f>IF(Construction!$F$31=Construction!$R$22,Oeko!CD310,Oeko!EQ310)</f>
        <v>1.0158730158730158</v>
      </c>
      <c r="R310" s="1998">
        <f>IF(Construction!$F$31=Construction!$R$22,Oeko!CE310,Oeko!ER310)</f>
        <v>1.0158730158730158</v>
      </c>
      <c r="S310" s="1979">
        <f>IF(Construction!$F$31=Construction!$R$22,Oeko!CF310,Oeko!ES310)</f>
        <v>1.25</v>
      </c>
      <c r="T310" s="1979">
        <f>IF(Construction!$F$31=Construction!$R$22,Oeko!CG310,Oeko!ET310)</f>
        <v>1.25</v>
      </c>
      <c r="U310" s="1979">
        <f>IF(Construction!$F$31=Construction!$R$22,Oeko!CH310,Oeko!EU310)</f>
        <v>1.25</v>
      </c>
      <c r="V310" s="1979">
        <f>IF(Construction!$F$31=Construction!$R$22,Oeko!CI310,Oeko!EV310)</f>
        <v>1.25</v>
      </c>
      <c r="W310" s="1979">
        <f>IF(Construction!$F$31=Construction!$R$22,Oeko!CJ310,Oeko!EW310)</f>
        <v>1.25</v>
      </c>
      <c r="X310" s="1998">
        <f>IF(Construction!$F$31=Construction!$R$22,Oeko!CK310,Oeko!EX310)</f>
        <v>0.99999999999999989</v>
      </c>
      <c r="Y310" s="1998">
        <f>IF(Construction!$F$31=Construction!$R$22,Oeko!CL310,Oeko!EY310)</f>
        <v>0.99999999999999989</v>
      </c>
      <c r="Z310" s="1998">
        <f>IF(Construction!$F$31=Construction!$R$22,Oeko!CM310,Oeko!EZ310)</f>
        <v>0.99999999999999989</v>
      </c>
      <c r="AA310" s="1998">
        <f>IF(Construction!$F$31=Construction!$R$22,Oeko!CN310,Oeko!FA310)</f>
        <v>0.99999999999999989</v>
      </c>
      <c r="AB310" s="1998">
        <f>IF(Construction!$F$31=Construction!$R$22,Oeko!CO310,Oeko!FB310)</f>
        <v>0.99999999999999989</v>
      </c>
      <c r="AC310" s="1979">
        <f>IF(Construction!$F$31=Construction!$R$22,Oeko!CP310,Oeko!FC310)</f>
        <v>1.0000000000000002</v>
      </c>
      <c r="AD310" s="1979">
        <f>IF(Construction!$F$31=Construction!$R$22,Oeko!CQ310,Oeko!FD310)</f>
        <v>1.0000000000000002</v>
      </c>
      <c r="AE310" s="1979">
        <f>IF(Construction!$F$31=Construction!$R$22,Oeko!CR310,Oeko!FE310)</f>
        <v>1.0000000000000002</v>
      </c>
      <c r="AF310" s="1979">
        <f>IF(Construction!$F$31=Construction!$R$22,Oeko!CS310,Oeko!FF310)</f>
        <v>1.0000000000000002</v>
      </c>
      <c r="AG310" s="1979">
        <f>IF(Construction!$F$31=Construction!$R$22,Oeko!CT310,Oeko!FG310)</f>
        <v>1.0000000000000002</v>
      </c>
      <c r="AH310" s="1998">
        <f>IF(Construction!$F$31=Construction!$R$22,Oeko!CU310,Oeko!FH310)</f>
        <v>1.3333333333333333</v>
      </c>
      <c r="AI310" s="1998">
        <f>IF(Construction!$F$31=Construction!$R$22,Oeko!CV310,Oeko!FI310)</f>
        <v>1.3333333333333333</v>
      </c>
      <c r="AJ310" s="1998">
        <f>IF(Construction!$F$31=Construction!$R$22,Oeko!CW310,Oeko!FJ310)</f>
        <v>1.3333333333333333</v>
      </c>
      <c r="AK310" s="1998">
        <f>IF(Construction!$F$31=Construction!$R$22,Oeko!CX310,Oeko!FK310)</f>
        <v>1.3333333333333333</v>
      </c>
      <c r="AL310" s="1998">
        <f>IF(Construction!$F$31=Construction!$R$22,Oeko!CY310,Oeko!FL310)</f>
        <v>1.3333333333333333</v>
      </c>
      <c r="AM310" s="1979">
        <f>IF(Construction!$F$31=Construction!$R$22,Oeko!CZ310,Oeko!FM310)</f>
        <v>1.1428571428571428</v>
      </c>
      <c r="AN310" s="1979">
        <f>IF(Construction!$F$31=Construction!$R$22,Oeko!DA310,Oeko!FN310)</f>
        <v>1.1428571428571428</v>
      </c>
      <c r="AO310" s="1979">
        <f>IF(Construction!$F$31=Construction!$R$22,Oeko!DB310,Oeko!FO310)</f>
        <v>1.1428571428571428</v>
      </c>
      <c r="AP310" s="1979">
        <f>IF(Construction!$F$31=Construction!$R$22,Oeko!DC310,Oeko!FP310)</f>
        <v>1.1428571428571428</v>
      </c>
      <c r="AQ310" s="1979">
        <f>IF(Construction!$F$31=Construction!$R$22,Oeko!DD310,Oeko!FQ310)</f>
        <v>1.1428571428571428</v>
      </c>
      <c r="AR310" s="1998">
        <f>IF(Construction!$F$31=Construction!$R$22,Oeko!DE310,Oeko!FR310)</f>
        <v>12.073289648882321</v>
      </c>
      <c r="AS310" s="1998">
        <f>IF(Construction!$F$31=Construction!$R$22,Oeko!DF310,Oeko!FS310)</f>
        <v>12.073289648882321</v>
      </c>
      <c r="AT310" s="1998">
        <f>IF(Construction!$F$31=Construction!$R$22,Oeko!DG310,Oeko!FT310)</f>
        <v>12.073289648882321</v>
      </c>
      <c r="AU310" s="1998">
        <f>IF(Construction!$F$31=Construction!$R$22,Oeko!DH310,Oeko!FU310)</f>
        <v>12.073289648882321</v>
      </c>
      <c r="AV310" s="1998">
        <f>IF(Construction!$F$31=Construction!$R$22,Oeko!DI310,Oeko!FV310)</f>
        <v>12.073289648882321</v>
      </c>
      <c r="AW310" s="1979">
        <f>IF(Construction!$F$31=Construction!$R$22,Oeko!DJ310,Oeko!FW310)</f>
        <v>12.049359250255064</v>
      </c>
      <c r="AX310" s="1979">
        <f>IF(Construction!$F$31=Construction!$R$22,Oeko!DK310,Oeko!FX310)</f>
        <v>12.049359250255064</v>
      </c>
      <c r="AY310" s="1979">
        <f>IF(Construction!$F$31=Construction!$R$22,Oeko!DL310,Oeko!FY310)</f>
        <v>12.049359250255064</v>
      </c>
      <c r="AZ310" s="1979">
        <f>IF(Construction!$F$31=Construction!$R$22,Oeko!DM310,Oeko!FZ310)</f>
        <v>12.049359250255064</v>
      </c>
      <c r="BA310" s="1979">
        <f>IF(Construction!$F$31=Construction!$R$22,Oeko!DN310,Oeko!GA310)</f>
        <v>12.049359250255064</v>
      </c>
      <c r="BB310" s="1998">
        <f>IF(Construction!$F$31=Construction!$R$22,Oeko!DO310,Oeko!GB310)</f>
        <v>0.97975662301212196</v>
      </c>
      <c r="BC310" s="1998">
        <f>IF(Construction!$F$31=Construction!$R$22,Oeko!DP310,Oeko!GC310)</f>
        <v>0.97975662301212196</v>
      </c>
      <c r="BD310" s="1998">
        <f>IF(Construction!$F$31=Construction!$R$22,Oeko!DQ310,Oeko!GD310)</f>
        <v>0.97975662301212196</v>
      </c>
      <c r="BE310" s="1998">
        <f>IF(Construction!$F$31=Construction!$R$22,Oeko!DR310,Oeko!GE310)</f>
        <v>0.97975662301212196</v>
      </c>
      <c r="BF310" s="1998">
        <f>IF(Construction!$F$31=Construction!$R$22,Oeko!DS310,Oeko!GF310)</f>
        <v>0.97975662301212196</v>
      </c>
      <c r="BG310" s="1979">
        <f>IF(Construction!$F$31=Construction!$R$22,Oeko!DT310,Oeko!GG310)</f>
        <v>0.9761487634781606</v>
      </c>
      <c r="BH310" s="1979">
        <f>IF(Construction!$F$31=Construction!$R$22,Oeko!DU310,Oeko!GH310)</f>
        <v>0.9761487634781606</v>
      </c>
      <c r="BI310" s="1979">
        <f>IF(Construction!$F$31=Construction!$R$22,Oeko!DV310,Oeko!GI310)</f>
        <v>0.9761487634781606</v>
      </c>
      <c r="BJ310" s="1979">
        <f>IF(Construction!$F$31=Construction!$R$22,Oeko!DW310,Oeko!GJ310)</f>
        <v>0.9761487634781606</v>
      </c>
      <c r="BK310" s="2021">
        <f>IF(Construction!$F$31=Construction!$R$22,Oeko!DX310,Oeko!GK310)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IF(Construction!$F$31=Construction!$R$22,Oeko!BQ311,Oeko!ED311)</f>
        <v>1.09375</v>
      </c>
      <c r="E311" s="1998">
        <f>IF(Construction!$F$31=Construction!$R$22,Oeko!BR311,Oeko!EE311)</f>
        <v>1.0606060606060606</v>
      </c>
      <c r="F311" s="1998">
        <f>IF(Construction!$F$31=Construction!$R$22,Oeko!BS311,Oeko!EF311)</f>
        <v>1.0606060606060606</v>
      </c>
      <c r="G311" s="1998">
        <f>IF(Construction!$F$31=Construction!$R$22,Oeko!BT311,Oeko!EG311)</f>
        <v>1.0606060606060606</v>
      </c>
      <c r="H311" s="1998">
        <f>IF(Construction!$F$31=Construction!$R$22,Oeko!BU311,Oeko!EH311)</f>
        <v>1.0606060606060606</v>
      </c>
      <c r="I311" s="1979">
        <f>IF(Construction!$F$31=Construction!$R$22,Oeko!BV311,Oeko!EI311)</f>
        <v>1.4999999999999998</v>
      </c>
      <c r="J311" s="1979">
        <f>IF(Construction!$F$31=Construction!$R$22,Oeko!BW311,Oeko!EJ311)</f>
        <v>1.4999999999999998</v>
      </c>
      <c r="K311" s="1979">
        <f>IF(Construction!$F$31=Construction!$R$22,Oeko!BX311,Oeko!EK311)</f>
        <v>1.4999999999999998</v>
      </c>
      <c r="L311" s="1979">
        <f>IF(Construction!$F$31=Construction!$R$22,Oeko!BY311,Oeko!EL311)</f>
        <v>1.4999999999999998</v>
      </c>
      <c r="M311" s="1979">
        <f>IF(Construction!$F$31=Construction!$R$22,Oeko!BZ311,Oeko!EM311)</f>
        <v>1.4999999999999998</v>
      </c>
      <c r="N311" s="1998">
        <f>IF(Construction!$F$31=Construction!$R$22,Oeko!CA311,Oeko!EN311)</f>
        <v>1.015873015873016</v>
      </c>
      <c r="O311" s="1998">
        <f>IF(Construction!$F$31=Construction!$R$22,Oeko!CB311,Oeko!EO311)</f>
        <v>1.015873015873016</v>
      </c>
      <c r="P311" s="1998">
        <f>IF(Construction!$F$31=Construction!$R$22,Oeko!CC311,Oeko!EP311)</f>
        <v>1.015873015873016</v>
      </c>
      <c r="Q311" s="1998">
        <f>IF(Construction!$F$31=Construction!$R$22,Oeko!CD311,Oeko!EQ311)</f>
        <v>1.015873015873016</v>
      </c>
      <c r="R311" s="1998">
        <f>IF(Construction!$F$31=Construction!$R$22,Oeko!CE311,Oeko!ER311)</f>
        <v>1.015873015873016</v>
      </c>
      <c r="S311" s="1979">
        <f>IF(Construction!$F$31=Construction!$R$22,Oeko!CF311,Oeko!ES311)</f>
        <v>1.25</v>
      </c>
      <c r="T311" s="1979">
        <f>IF(Construction!$F$31=Construction!$R$22,Oeko!CG311,Oeko!ET311)</f>
        <v>1.25</v>
      </c>
      <c r="U311" s="1979">
        <f>IF(Construction!$F$31=Construction!$R$22,Oeko!CH311,Oeko!EU311)</f>
        <v>1.25</v>
      </c>
      <c r="V311" s="1979">
        <f>IF(Construction!$F$31=Construction!$R$22,Oeko!CI311,Oeko!EV311)</f>
        <v>1.25</v>
      </c>
      <c r="W311" s="1979">
        <f>IF(Construction!$F$31=Construction!$R$22,Oeko!CJ311,Oeko!EW311)</f>
        <v>1.25</v>
      </c>
      <c r="X311" s="1998">
        <f>IF(Construction!$F$31=Construction!$R$22,Oeko!CK311,Oeko!EX311)</f>
        <v>1</v>
      </c>
      <c r="Y311" s="1998">
        <f>IF(Construction!$F$31=Construction!$R$22,Oeko!CL311,Oeko!EY311)</f>
        <v>1</v>
      </c>
      <c r="Z311" s="1998">
        <f>IF(Construction!$F$31=Construction!$R$22,Oeko!CM311,Oeko!EZ311)</f>
        <v>1</v>
      </c>
      <c r="AA311" s="1998">
        <f>IF(Construction!$F$31=Construction!$R$22,Oeko!CN311,Oeko!FA311)</f>
        <v>1</v>
      </c>
      <c r="AB311" s="1998">
        <f>IF(Construction!$F$31=Construction!$R$22,Oeko!CO311,Oeko!FB311)</f>
        <v>1</v>
      </c>
      <c r="AC311" s="1979">
        <f>IF(Construction!$F$31=Construction!$R$22,Oeko!CP311,Oeko!FC311)</f>
        <v>1</v>
      </c>
      <c r="AD311" s="1979">
        <f>IF(Construction!$F$31=Construction!$R$22,Oeko!CQ311,Oeko!FD311)</f>
        <v>1</v>
      </c>
      <c r="AE311" s="1979">
        <f>IF(Construction!$F$31=Construction!$R$22,Oeko!CR311,Oeko!FE311)</f>
        <v>1</v>
      </c>
      <c r="AF311" s="1979">
        <f>IF(Construction!$F$31=Construction!$R$22,Oeko!CS311,Oeko!FF311)</f>
        <v>1</v>
      </c>
      <c r="AG311" s="1979">
        <f>IF(Construction!$F$31=Construction!$R$22,Oeko!CT311,Oeko!FG311)</f>
        <v>1</v>
      </c>
      <c r="AH311" s="1998">
        <f>IF(Construction!$F$31=Construction!$R$22,Oeko!CU311,Oeko!FH311)</f>
        <v>1.3333333333333333</v>
      </c>
      <c r="AI311" s="1998">
        <f>IF(Construction!$F$31=Construction!$R$22,Oeko!CV311,Oeko!FI311)</f>
        <v>1.3333333333333333</v>
      </c>
      <c r="AJ311" s="1998">
        <f>IF(Construction!$F$31=Construction!$R$22,Oeko!CW311,Oeko!FJ311)</f>
        <v>1.3333333333333333</v>
      </c>
      <c r="AK311" s="1998">
        <f>IF(Construction!$F$31=Construction!$R$22,Oeko!CX311,Oeko!FK311)</f>
        <v>1.3333333333333333</v>
      </c>
      <c r="AL311" s="1998">
        <f>IF(Construction!$F$31=Construction!$R$22,Oeko!CY311,Oeko!FL311)</f>
        <v>1.3333333333333333</v>
      </c>
      <c r="AM311" s="1979">
        <f>IF(Construction!$F$31=Construction!$R$22,Oeko!CZ311,Oeko!FM311)</f>
        <v>1.0666666666666667</v>
      </c>
      <c r="AN311" s="1979">
        <f>IF(Construction!$F$31=Construction!$R$22,Oeko!DA311,Oeko!FN311)</f>
        <v>1.0666666666666667</v>
      </c>
      <c r="AO311" s="1979">
        <f>IF(Construction!$F$31=Construction!$R$22,Oeko!DB311,Oeko!FO311)</f>
        <v>1.0666666666666667</v>
      </c>
      <c r="AP311" s="1979">
        <f>IF(Construction!$F$31=Construction!$R$22,Oeko!DC311,Oeko!FP311)</f>
        <v>1.0666666666666667</v>
      </c>
      <c r="AQ311" s="1979">
        <f>IF(Construction!$F$31=Construction!$R$22,Oeko!DD311,Oeko!FQ311)</f>
        <v>1.0666666666666667</v>
      </c>
      <c r="AR311" s="1998">
        <f>IF(Construction!$F$31=Construction!$R$22,Oeko!DE311,Oeko!FR311)</f>
        <v>12.073289648882321</v>
      </c>
      <c r="AS311" s="1998">
        <f>IF(Construction!$F$31=Construction!$R$22,Oeko!DF311,Oeko!FS311)</f>
        <v>12.073289648882321</v>
      </c>
      <c r="AT311" s="1998">
        <f>IF(Construction!$F$31=Construction!$R$22,Oeko!DG311,Oeko!FT311)</f>
        <v>12.073289648882321</v>
      </c>
      <c r="AU311" s="1998">
        <f>IF(Construction!$F$31=Construction!$R$22,Oeko!DH311,Oeko!FU311)</f>
        <v>12.073289648882321</v>
      </c>
      <c r="AV311" s="1998">
        <f>IF(Construction!$F$31=Construction!$R$22,Oeko!DI311,Oeko!FV311)</f>
        <v>12.073289648882321</v>
      </c>
      <c r="AW311" s="1979">
        <f>IF(Construction!$F$31=Construction!$R$22,Oeko!DJ311,Oeko!FW311)</f>
        <v>10.71054155578228</v>
      </c>
      <c r="AX311" s="1979">
        <f>IF(Construction!$F$31=Construction!$R$22,Oeko!DK311,Oeko!FX311)</f>
        <v>10.71054155578228</v>
      </c>
      <c r="AY311" s="1979">
        <f>IF(Construction!$F$31=Construction!$R$22,Oeko!DL311,Oeko!FY311)</f>
        <v>10.71054155578228</v>
      </c>
      <c r="AZ311" s="1979">
        <f>IF(Construction!$F$31=Construction!$R$22,Oeko!DM311,Oeko!FZ311)</f>
        <v>10.71054155578228</v>
      </c>
      <c r="BA311" s="1979">
        <f>IF(Construction!$F$31=Construction!$R$22,Oeko!DN311,Oeko!GA311)</f>
        <v>10.71054155578228</v>
      </c>
      <c r="BB311" s="1998">
        <f>IF(Construction!$F$31=Construction!$R$22,Oeko!DO311,Oeko!GB311)</f>
        <v>0.97975662301212196</v>
      </c>
      <c r="BC311" s="1998">
        <f>IF(Construction!$F$31=Construction!$R$22,Oeko!DP311,Oeko!GC311)</f>
        <v>0.97975662301212196</v>
      </c>
      <c r="BD311" s="1998">
        <f>IF(Construction!$F$31=Construction!$R$22,Oeko!DQ311,Oeko!GD311)</f>
        <v>0.97975662301212196</v>
      </c>
      <c r="BE311" s="1998">
        <f>IF(Construction!$F$31=Construction!$R$22,Oeko!DR311,Oeko!GE311)</f>
        <v>0.97975662301212196</v>
      </c>
      <c r="BF311" s="1998">
        <f>IF(Construction!$F$31=Construction!$R$22,Oeko!DS311,Oeko!GF311)</f>
        <v>0.97975662301212196</v>
      </c>
      <c r="BG311" s="1979">
        <f>IF(Construction!$F$31=Construction!$R$22,Oeko!DT311,Oeko!GG311)</f>
        <v>0.9761487634781606</v>
      </c>
      <c r="BH311" s="1979">
        <f>IF(Construction!$F$31=Construction!$R$22,Oeko!DU311,Oeko!GH311)</f>
        <v>0.9761487634781606</v>
      </c>
      <c r="BI311" s="1979">
        <f>IF(Construction!$F$31=Construction!$R$22,Oeko!DV311,Oeko!GI311)</f>
        <v>0.9761487634781606</v>
      </c>
      <c r="BJ311" s="1979">
        <f>IF(Construction!$F$31=Construction!$R$22,Oeko!DW311,Oeko!GJ311)</f>
        <v>0.9761487634781606</v>
      </c>
      <c r="BK311" s="2021">
        <f>IF(Construction!$F$31=Construction!$R$22,Oeko!DX311,Oeko!GK311)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IF(Construction!$F$31=Construction!$R$22,Oeko!BQ312,Oeko!ED312)</f>
        <v>1.09375</v>
      </c>
      <c r="E312" s="1998">
        <f>IF(Construction!$F$31=Construction!$R$22,Oeko!BR312,Oeko!EE312)</f>
        <v>1</v>
      </c>
      <c r="F312" s="1998">
        <f>IF(Construction!$F$31=Construction!$R$22,Oeko!BS312,Oeko!EF312)</f>
        <v>1</v>
      </c>
      <c r="G312" s="1998">
        <f>IF(Construction!$F$31=Construction!$R$22,Oeko!BT312,Oeko!EG312)</f>
        <v>1</v>
      </c>
      <c r="H312" s="1998">
        <f>IF(Construction!$F$31=Construction!$R$22,Oeko!BU312,Oeko!EH312)</f>
        <v>1</v>
      </c>
      <c r="I312" s="1979">
        <f>IF(Construction!$F$31=Construction!$R$22,Oeko!BV312,Oeko!EI312)</f>
        <v>1.333333333333333</v>
      </c>
      <c r="J312" s="1979">
        <f>IF(Construction!$F$31=Construction!$R$22,Oeko!BW312,Oeko!EJ312)</f>
        <v>1.333333333333333</v>
      </c>
      <c r="K312" s="1979">
        <f>IF(Construction!$F$31=Construction!$R$22,Oeko!BX312,Oeko!EK312)</f>
        <v>1.333333333333333</v>
      </c>
      <c r="L312" s="1979">
        <f>IF(Construction!$F$31=Construction!$R$22,Oeko!BY312,Oeko!EL312)</f>
        <v>1.333333333333333</v>
      </c>
      <c r="M312" s="1979">
        <f>IF(Construction!$F$31=Construction!$R$22,Oeko!BZ312,Oeko!EM312)</f>
        <v>1.333333333333333</v>
      </c>
      <c r="N312" s="1998">
        <f>IF(Construction!$F$31=Construction!$R$22,Oeko!CA312,Oeko!EN312)</f>
        <v>1</v>
      </c>
      <c r="O312" s="1998">
        <f>IF(Construction!$F$31=Construction!$R$22,Oeko!CB312,Oeko!EO312)</f>
        <v>1</v>
      </c>
      <c r="P312" s="1998">
        <f>IF(Construction!$F$31=Construction!$R$22,Oeko!CC312,Oeko!EP312)</f>
        <v>1</v>
      </c>
      <c r="Q312" s="1998">
        <f>IF(Construction!$F$31=Construction!$R$22,Oeko!CD312,Oeko!EQ312)</f>
        <v>1</v>
      </c>
      <c r="R312" s="1998">
        <f>IF(Construction!$F$31=Construction!$R$22,Oeko!CE312,Oeko!ER312)</f>
        <v>1</v>
      </c>
      <c r="S312" s="1979">
        <f>IF(Construction!$F$31=Construction!$R$22,Oeko!CF312,Oeko!ES312)</f>
        <v>1.2000000000000002</v>
      </c>
      <c r="T312" s="1979">
        <f>IF(Construction!$F$31=Construction!$R$22,Oeko!CG312,Oeko!ET312)</f>
        <v>1.2000000000000002</v>
      </c>
      <c r="U312" s="1979">
        <f>IF(Construction!$F$31=Construction!$R$22,Oeko!CH312,Oeko!EU312)</f>
        <v>1.2000000000000002</v>
      </c>
      <c r="V312" s="1979">
        <f>IF(Construction!$F$31=Construction!$R$22,Oeko!CI312,Oeko!EV312)</f>
        <v>1.2000000000000002</v>
      </c>
      <c r="W312" s="1979">
        <f>IF(Construction!$F$31=Construction!$R$22,Oeko!CJ312,Oeko!EW312)</f>
        <v>1.2000000000000002</v>
      </c>
      <c r="X312" s="1998">
        <f>IF(Construction!$F$31=Construction!$R$22,Oeko!CK312,Oeko!EX312)</f>
        <v>0.96</v>
      </c>
      <c r="Y312" s="1998">
        <f>IF(Construction!$F$31=Construction!$R$22,Oeko!CL312,Oeko!EY312)</f>
        <v>0.96</v>
      </c>
      <c r="Z312" s="1998">
        <f>IF(Construction!$F$31=Construction!$R$22,Oeko!CM312,Oeko!EZ312)</f>
        <v>0.96</v>
      </c>
      <c r="AA312" s="1998">
        <f>IF(Construction!$F$31=Construction!$R$22,Oeko!CN312,Oeko!FA312)</f>
        <v>0.96</v>
      </c>
      <c r="AB312" s="1998">
        <f>IF(Construction!$F$31=Construction!$R$22,Oeko!CO312,Oeko!FB312)</f>
        <v>0.96</v>
      </c>
      <c r="AC312" s="1979">
        <f>IF(Construction!$F$31=Construction!$R$22,Oeko!CP312,Oeko!FC312)</f>
        <v>1.0000000000000002</v>
      </c>
      <c r="AD312" s="1979">
        <f>IF(Construction!$F$31=Construction!$R$22,Oeko!CQ312,Oeko!FD312)</f>
        <v>1.0000000000000002</v>
      </c>
      <c r="AE312" s="1979">
        <f>IF(Construction!$F$31=Construction!$R$22,Oeko!CR312,Oeko!FE312)</f>
        <v>1.0000000000000002</v>
      </c>
      <c r="AF312" s="1979">
        <f>IF(Construction!$F$31=Construction!$R$22,Oeko!CS312,Oeko!FF312)</f>
        <v>1.0000000000000002</v>
      </c>
      <c r="AG312" s="1979">
        <f>IF(Construction!$F$31=Construction!$R$22,Oeko!CT312,Oeko!FG312)</f>
        <v>1.0000000000000002</v>
      </c>
      <c r="AH312" s="1998">
        <f>IF(Construction!$F$31=Construction!$R$22,Oeko!CU312,Oeko!FH312)</f>
        <v>1.333333333333333</v>
      </c>
      <c r="AI312" s="1998">
        <f>IF(Construction!$F$31=Construction!$R$22,Oeko!CV312,Oeko!FI312)</f>
        <v>1.333333333333333</v>
      </c>
      <c r="AJ312" s="1998">
        <f>IF(Construction!$F$31=Construction!$R$22,Oeko!CW312,Oeko!FJ312)</f>
        <v>1.333333333333333</v>
      </c>
      <c r="AK312" s="1998">
        <f>IF(Construction!$F$31=Construction!$R$22,Oeko!CX312,Oeko!FK312)</f>
        <v>1.333333333333333</v>
      </c>
      <c r="AL312" s="1998">
        <f>IF(Construction!$F$31=Construction!$R$22,Oeko!CY312,Oeko!FL312)</f>
        <v>1.333333333333333</v>
      </c>
      <c r="AM312" s="1979">
        <f>IF(Construction!$F$31=Construction!$R$22,Oeko!CZ312,Oeko!FM312)</f>
        <v>1</v>
      </c>
      <c r="AN312" s="1979">
        <f>IF(Construction!$F$31=Construction!$R$22,Oeko!DA312,Oeko!FN312)</f>
        <v>1</v>
      </c>
      <c r="AO312" s="1979">
        <f>IF(Construction!$F$31=Construction!$R$22,Oeko!DB312,Oeko!FO312)</f>
        <v>1</v>
      </c>
      <c r="AP312" s="1979">
        <f>IF(Construction!$F$31=Construction!$R$22,Oeko!DC312,Oeko!FP312)</f>
        <v>1</v>
      </c>
      <c r="AQ312" s="1979">
        <f>IF(Construction!$F$31=Construction!$R$22,Oeko!DD312,Oeko!FQ312)</f>
        <v>1</v>
      </c>
      <c r="AR312" s="1998">
        <f>IF(Construction!$F$31=Construction!$R$22,Oeko!DE312,Oeko!FR312)</f>
        <v>10.73181302122873</v>
      </c>
      <c r="AS312" s="1998">
        <f>IF(Construction!$F$31=Construction!$R$22,Oeko!DF312,Oeko!FS312)</f>
        <v>10.73181302122873</v>
      </c>
      <c r="AT312" s="1998">
        <f>IF(Construction!$F$31=Construction!$R$22,Oeko!DG312,Oeko!FT312)</f>
        <v>10.73181302122873</v>
      </c>
      <c r="AU312" s="1998">
        <f>IF(Construction!$F$31=Construction!$R$22,Oeko!DH312,Oeko!FU312)</f>
        <v>10.73181302122873</v>
      </c>
      <c r="AV312" s="1998">
        <f>IF(Construction!$F$31=Construction!$R$22,Oeko!DI312,Oeko!FV312)</f>
        <v>10.73181302122873</v>
      </c>
      <c r="AW312" s="1979">
        <f>IF(Construction!$F$31=Construction!$R$22,Oeko!DJ312,Oeko!FW312)</f>
        <v>10.71054155578228</v>
      </c>
      <c r="AX312" s="1979">
        <f>IF(Construction!$F$31=Construction!$R$22,Oeko!DK312,Oeko!FX312)</f>
        <v>10.71054155578228</v>
      </c>
      <c r="AY312" s="1979">
        <f>IF(Construction!$F$31=Construction!$R$22,Oeko!DL312,Oeko!FY312)</f>
        <v>10.71054155578228</v>
      </c>
      <c r="AZ312" s="1979">
        <f>IF(Construction!$F$31=Construction!$R$22,Oeko!DM312,Oeko!FZ312)</f>
        <v>10.71054155578228</v>
      </c>
      <c r="BA312" s="1979">
        <f>IF(Construction!$F$31=Construction!$R$22,Oeko!DN312,Oeko!GA312)</f>
        <v>10.71054155578228</v>
      </c>
      <c r="BB312" s="1998">
        <f>IF(Construction!$F$31=Construction!$R$22,Oeko!DO312,Oeko!GB312)</f>
        <v>0.97975662301212196</v>
      </c>
      <c r="BC312" s="1998">
        <f>IF(Construction!$F$31=Construction!$R$22,Oeko!DP312,Oeko!GC312)</f>
        <v>0.97975662301212196</v>
      </c>
      <c r="BD312" s="1998">
        <f>IF(Construction!$F$31=Construction!$R$22,Oeko!DQ312,Oeko!GD312)</f>
        <v>0.97975662301212196</v>
      </c>
      <c r="BE312" s="1998">
        <f>IF(Construction!$F$31=Construction!$R$22,Oeko!DR312,Oeko!GE312)</f>
        <v>0.97975662301212196</v>
      </c>
      <c r="BF312" s="1998">
        <f>IF(Construction!$F$31=Construction!$R$22,Oeko!DS312,Oeko!GF312)</f>
        <v>0.97975662301212196</v>
      </c>
      <c r="BG312" s="1979">
        <f>IF(Construction!$F$31=Construction!$R$22,Oeko!DT312,Oeko!GG312)</f>
        <v>0.97614876347816082</v>
      </c>
      <c r="BH312" s="1979">
        <f>IF(Construction!$F$31=Construction!$R$22,Oeko!DU312,Oeko!GH312)</f>
        <v>0.97614876347816082</v>
      </c>
      <c r="BI312" s="1979">
        <f>IF(Construction!$F$31=Construction!$R$22,Oeko!DV312,Oeko!GI312)</f>
        <v>0.97614876347816082</v>
      </c>
      <c r="BJ312" s="1979">
        <f>IF(Construction!$F$31=Construction!$R$22,Oeko!DW312,Oeko!GJ312)</f>
        <v>0.97614876347816082</v>
      </c>
      <c r="BK312" s="2021">
        <f>IF(Construction!$F$31=Construction!$R$22,Oeko!DX312,Oeko!GK312)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IF(Construction!$F$31=Construction!$R$22,Oeko!BQ313,Oeko!ED313)</f>
        <v>1.09375</v>
      </c>
      <c r="E313" s="1998">
        <f>IF(Construction!$F$31=Construction!$R$22,Oeko!BR313,Oeko!EE313)</f>
        <v>1</v>
      </c>
      <c r="F313" s="1998">
        <f>IF(Construction!$F$31=Construction!$R$22,Oeko!BS313,Oeko!EF313)</f>
        <v>1</v>
      </c>
      <c r="G313" s="1998">
        <f>IF(Construction!$F$31=Construction!$R$22,Oeko!BT313,Oeko!EG313)</f>
        <v>1</v>
      </c>
      <c r="H313" s="1998">
        <f>IF(Construction!$F$31=Construction!$R$22,Oeko!BU313,Oeko!EH313)</f>
        <v>1</v>
      </c>
      <c r="I313" s="1979">
        <f>IF(Construction!$F$31=Construction!$R$22,Oeko!BV313,Oeko!EI313)</f>
        <v>1.3333333333333333</v>
      </c>
      <c r="J313" s="1979">
        <f>IF(Construction!$F$31=Construction!$R$22,Oeko!BW313,Oeko!EJ313)</f>
        <v>1.3333333333333333</v>
      </c>
      <c r="K313" s="1979">
        <f>IF(Construction!$F$31=Construction!$R$22,Oeko!BX313,Oeko!EK313)</f>
        <v>1.3333333333333333</v>
      </c>
      <c r="L313" s="1979">
        <f>IF(Construction!$F$31=Construction!$R$22,Oeko!BY313,Oeko!EL313)</f>
        <v>1.3333333333333333</v>
      </c>
      <c r="M313" s="1979">
        <f>IF(Construction!$F$31=Construction!$R$22,Oeko!BZ313,Oeko!EM313)</f>
        <v>1.3333333333333333</v>
      </c>
      <c r="N313" s="1998">
        <f>IF(Construction!$F$31=Construction!$R$22,Oeko!CA313,Oeko!EN313)</f>
        <v>0.95238095238095233</v>
      </c>
      <c r="O313" s="1998">
        <f>IF(Construction!$F$31=Construction!$R$22,Oeko!CB313,Oeko!EO313)</f>
        <v>0.95238095238095233</v>
      </c>
      <c r="P313" s="1998">
        <f>IF(Construction!$F$31=Construction!$R$22,Oeko!CC313,Oeko!EP313)</f>
        <v>0.95238095238095233</v>
      </c>
      <c r="Q313" s="1998">
        <f>IF(Construction!$F$31=Construction!$R$22,Oeko!CD313,Oeko!EQ313)</f>
        <v>0.95238095238095233</v>
      </c>
      <c r="R313" s="1998">
        <f>IF(Construction!$F$31=Construction!$R$22,Oeko!CE313,Oeko!ER313)</f>
        <v>0.95238095238095233</v>
      </c>
      <c r="S313" s="1979">
        <f>IF(Construction!$F$31=Construction!$R$22,Oeko!CF313,Oeko!ES313)</f>
        <v>1.125</v>
      </c>
      <c r="T313" s="1979">
        <f>IF(Construction!$F$31=Construction!$R$22,Oeko!CG313,Oeko!ET313)</f>
        <v>1.125</v>
      </c>
      <c r="U313" s="1979">
        <f>IF(Construction!$F$31=Construction!$R$22,Oeko!CH313,Oeko!EU313)</f>
        <v>1.125</v>
      </c>
      <c r="V313" s="1979">
        <f>IF(Construction!$F$31=Construction!$R$22,Oeko!CI313,Oeko!EV313)</f>
        <v>1.125</v>
      </c>
      <c r="W313" s="1979">
        <f>IF(Construction!$F$31=Construction!$R$22,Oeko!CJ313,Oeko!EW313)</f>
        <v>1.125</v>
      </c>
      <c r="X313" s="1998">
        <f>IF(Construction!$F$31=Construction!$R$22,Oeko!CK313,Oeko!EX313)</f>
        <v>0.9</v>
      </c>
      <c r="Y313" s="1998">
        <f>IF(Construction!$F$31=Construction!$R$22,Oeko!CL313,Oeko!EY313)</f>
        <v>0.9</v>
      </c>
      <c r="Z313" s="1998">
        <f>IF(Construction!$F$31=Construction!$R$22,Oeko!CM313,Oeko!EZ313)</f>
        <v>0.9</v>
      </c>
      <c r="AA313" s="1998">
        <f>IF(Construction!$F$31=Construction!$R$22,Oeko!CN313,Oeko!FA313)</f>
        <v>0.9</v>
      </c>
      <c r="AB313" s="1998">
        <f>IF(Construction!$F$31=Construction!$R$22,Oeko!CO313,Oeko!FB313)</f>
        <v>0.9</v>
      </c>
      <c r="AC313" s="1979">
        <f>IF(Construction!$F$31=Construction!$R$22,Oeko!CP313,Oeko!FC313)</f>
        <v>1.0000000000000002</v>
      </c>
      <c r="AD313" s="1979">
        <f>IF(Construction!$F$31=Construction!$R$22,Oeko!CQ313,Oeko!FD313)</f>
        <v>1.0000000000000002</v>
      </c>
      <c r="AE313" s="1979">
        <f>IF(Construction!$F$31=Construction!$R$22,Oeko!CR313,Oeko!FE313)</f>
        <v>1.0000000000000002</v>
      </c>
      <c r="AF313" s="1979">
        <f>IF(Construction!$F$31=Construction!$R$22,Oeko!CS313,Oeko!FF313)</f>
        <v>1.0000000000000002</v>
      </c>
      <c r="AG313" s="1979">
        <f>IF(Construction!$F$31=Construction!$R$22,Oeko!CT313,Oeko!FG313)</f>
        <v>1.0000000000000002</v>
      </c>
      <c r="AH313" s="1998">
        <f>IF(Construction!$F$31=Construction!$R$22,Oeko!CU313,Oeko!FH313)</f>
        <v>1.333333333333333</v>
      </c>
      <c r="AI313" s="1998">
        <f>IF(Construction!$F$31=Construction!$R$22,Oeko!CV313,Oeko!FI313)</f>
        <v>1.333333333333333</v>
      </c>
      <c r="AJ313" s="1998">
        <f>IF(Construction!$F$31=Construction!$R$22,Oeko!CW313,Oeko!FJ313)</f>
        <v>1.333333333333333</v>
      </c>
      <c r="AK313" s="1998">
        <f>IF(Construction!$F$31=Construction!$R$22,Oeko!CX313,Oeko!FK313)</f>
        <v>1.333333333333333</v>
      </c>
      <c r="AL313" s="1998">
        <f>IF(Construction!$F$31=Construction!$R$22,Oeko!CY313,Oeko!FL313)</f>
        <v>1.333333333333333</v>
      </c>
      <c r="AM313" s="1979">
        <f>IF(Construction!$F$31=Construction!$R$22,Oeko!CZ313,Oeko!FM313)</f>
        <v>0.99999999999999989</v>
      </c>
      <c r="AN313" s="1979">
        <f>IF(Construction!$F$31=Construction!$R$22,Oeko!DA313,Oeko!FN313)</f>
        <v>0.99999999999999989</v>
      </c>
      <c r="AO313" s="1979">
        <f>IF(Construction!$F$31=Construction!$R$22,Oeko!DB313,Oeko!FO313)</f>
        <v>0.99999999999999989</v>
      </c>
      <c r="AP313" s="1979">
        <f>IF(Construction!$F$31=Construction!$R$22,Oeko!DC313,Oeko!FP313)</f>
        <v>0.99999999999999989</v>
      </c>
      <c r="AQ313" s="1979">
        <f>IF(Construction!$F$31=Construction!$R$22,Oeko!DD313,Oeko!FQ313)</f>
        <v>0.99999999999999989</v>
      </c>
      <c r="AR313" s="1998">
        <f>IF(Construction!$F$31=Construction!$R$22,Oeko!DE313,Oeko!FR313)</f>
        <v>10.73181302122873</v>
      </c>
      <c r="AS313" s="1998">
        <f>IF(Construction!$F$31=Construction!$R$22,Oeko!DF313,Oeko!FS313)</f>
        <v>10.73181302122873</v>
      </c>
      <c r="AT313" s="1998">
        <f>IF(Construction!$F$31=Construction!$R$22,Oeko!DG313,Oeko!FT313)</f>
        <v>10.73181302122873</v>
      </c>
      <c r="AU313" s="1998">
        <f>IF(Construction!$F$31=Construction!$R$22,Oeko!DH313,Oeko!FU313)</f>
        <v>10.73181302122873</v>
      </c>
      <c r="AV313" s="1998">
        <f>IF(Construction!$F$31=Construction!$R$22,Oeko!DI313,Oeko!FV313)</f>
        <v>10.73181302122873</v>
      </c>
      <c r="AW313" s="1979">
        <f>IF(Construction!$F$31=Construction!$R$22,Oeko!DJ313,Oeko!FW313)</f>
        <v>8.0329061668367086</v>
      </c>
      <c r="AX313" s="1979">
        <f>IF(Construction!$F$31=Construction!$R$22,Oeko!DK313,Oeko!FX313)</f>
        <v>8.0329061668367086</v>
      </c>
      <c r="AY313" s="1979">
        <f>IF(Construction!$F$31=Construction!$R$22,Oeko!DL313,Oeko!FY313)</f>
        <v>8.0329061668367086</v>
      </c>
      <c r="AZ313" s="1979">
        <f>IF(Construction!$F$31=Construction!$R$22,Oeko!DM313,Oeko!FZ313)</f>
        <v>8.0329061668367086</v>
      </c>
      <c r="BA313" s="1979">
        <f>IF(Construction!$F$31=Construction!$R$22,Oeko!DN313,Oeko!GA313)</f>
        <v>8.0329061668367086</v>
      </c>
      <c r="BB313" s="1998">
        <f>IF(Construction!$F$31=Construction!$R$22,Oeko!DO313,Oeko!GB313)</f>
        <v>0.97975662301212196</v>
      </c>
      <c r="BC313" s="1998">
        <f>IF(Construction!$F$31=Construction!$R$22,Oeko!DP313,Oeko!GC313)</f>
        <v>0.97975662301212196</v>
      </c>
      <c r="BD313" s="1998">
        <f>IF(Construction!$F$31=Construction!$R$22,Oeko!DQ313,Oeko!GD313)</f>
        <v>0.97975662301212196</v>
      </c>
      <c r="BE313" s="1998">
        <f>IF(Construction!$F$31=Construction!$R$22,Oeko!DR313,Oeko!GE313)</f>
        <v>0.97975662301212196</v>
      </c>
      <c r="BF313" s="1998">
        <f>IF(Construction!$F$31=Construction!$R$22,Oeko!DS313,Oeko!GF313)</f>
        <v>0.97975662301212196</v>
      </c>
      <c r="BG313" s="1979">
        <f>IF(Construction!$F$31=Construction!$R$22,Oeko!DT313,Oeko!GG313)</f>
        <v>0.9761487634781606</v>
      </c>
      <c r="BH313" s="1979">
        <f>IF(Construction!$F$31=Construction!$R$22,Oeko!DU313,Oeko!GH313)</f>
        <v>0.9761487634781606</v>
      </c>
      <c r="BI313" s="1979">
        <f>IF(Construction!$F$31=Construction!$R$22,Oeko!DV313,Oeko!GI313)</f>
        <v>0.9761487634781606</v>
      </c>
      <c r="BJ313" s="1979">
        <f>IF(Construction!$F$31=Construction!$R$22,Oeko!DW313,Oeko!GJ313)</f>
        <v>0.9761487634781606</v>
      </c>
      <c r="BK313" s="2021">
        <f>IF(Construction!$F$31=Construction!$R$22,Oeko!DX313,Oeko!GK313)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IF(Construction!$F$31=Construction!$R$22,Oeko!BQ314,Oeko!ED314)</f>
        <v>1.09375</v>
      </c>
      <c r="E314" s="1998">
        <f>IF(Construction!$F$31=Construction!$R$22,Oeko!BR314,Oeko!EE314)</f>
        <v>0.99999999999999989</v>
      </c>
      <c r="F314" s="1998">
        <f>IF(Construction!$F$31=Construction!$R$22,Oeko!BS314,Oeko!EF314)</f>
        <v>0.99999999999999989</v>
      </c>
      <c r="G314" s="1998">
        <f>IF(Construction!$F$31=Construction!$R$22,Oeko!BT314,Oeko!EG314)</f>
        <v>0.99999999999999989</v>
      </c>
      <c r="H314" s="1998">
        <f>IF(Construction!$F$31=Construction!$R$22,Oeko!BU314,Oeko!EH314)</f>
        <v>0.99999999999999989</v>
      </c>
      <c r="I314" s="1979">
        <f>IF(Construction!$F$31=Construction!$R$22,Oeko!BV314,Oeko!EI314)</f>
        <v>1.3333333333333333</v>
      </c>
      <c r="J314" s="1979">
        <f>IF(Construction!$F$31=Construction!$R$22,Oeko!BW314,Oeko!EJ314)</f>
        <v>1.3333333333333333</v>
      </c>
      <c r="K314" s="1979">
        <f>IF(Construction!$F$31=Construction!$R$22,Oeko!BX314,Oeko!EK314)</f>
        <v>1.3333333333333333</v>
      </c>
      <c r="L314" s="1979">
        <f>IF(Construction!$F$31=Construction!$R$22,Oeko!BY314,Oeko!EL314)</f>
        <v>1.3333333333333333</v>
      </c>
      <c r="M314" s="1979">
        <f>IF(Construction!$F$31=Construction!$R$22,Oeko!BZ314,Oeko!EM314)</f>
        <v>1.3333333333333333</v>
      </c>
      <c r="N314" s="1998">
        <f>IF(Construction!$F$31=Construction!$R$22,Oeko!CA314,Oeko!EN314)</f>
        <v>0.91428571428571437</v>
      </c>
      <c r="O314" s="1998">
        <f>IF(Construction!$F$31=Construction!$R$22,Oeko!CB314,Oeko!EO314)</f>
        <v>0.91428571428571437</v>
      </c>
      <c r="P314" s="1998">
        <f>IF(Construction!$F$31=Construction!$R$22,Oeko!CC314,Oeko!EP314)</f>
        <v>0.91428571428571437</v>
      </c>
      <c r="Q314" s="1998">
        <f>IF(Construction!$F$31=Construction!$R$22,Oeko!CD314,Oeko!EQ314)</f>
        <v>0.91428571428571437</v>
      </c>
      <c r="R314" s="1998">
        <f>IF(Construction!$F$31=Construction!$R$22,Oeko!CE314,Oeko!ER314)</f>
        <v>0.91428571428571437</v>
      </c>
      <c r="S314" s="1979">
        <f>IF(Construction!$F$31=Construction!$R$22,Oeko!CF314,Oeko!ES314)</f>
        <v>1.1250000000000002</v>
      </c>
      <c r="T314" s="1979">
        <f>IF(Construction!$F$31=Construction!$R$22,Oeko!CG314,Oeko!ET314)</f>
        <v>1.1250000000000002</v>
      </c>
      <c r="U314" s="1979">
        <f>IF(Construction!$F$31=Construction!$R$22,Oeko!CH314,Oeko!EU314)</f>
        <v>1.1250000000000002</v>
      </c>
      <c r="V314" s="1979">
        <f>IF(Construction!$F$31=Construction!$R$22,Oeko!CI314,Oeko!EV314)</f>
        <v>1.1250000000000002</v>
      </c>
      <c r="W314" s="1979">
        <f>IF(Construction!$F$31=Construction!$R$22,Oeko!CJ314,Oeko!EW314)</f>
        <v>1.1250000000000002</v>
      </c>
      <c r="X314" s="1998">
        <f>IF(Construction!$F$31=Construction!$R$22,Oeko!CK314,Oeko!EX314)</f>
        <v>0.89999999999999991</v>
      </c>
      <c r="Y314" s="1998">
        <f>IF(Construction!$F$31=Construction!$R$22,Oeko!CL314,Oeko!EY314)</f>
        <v>0.89999999999999991</v>
      </c>
      <c r="Z314" s="1998">
        <f>IF(Construction!$F$31=Construction!$R$22,Oeko!CM314,Oeko!EZ314)</f>
        <v>0.89999999999999991</v>
      </c>
      <c r="AA314" s="1998">
        <f>IF(Construction!$F$31=Construction!$R$22,Oeko!CN314,Oeko!FA314)</f>
        <v>0.89999999999999991</v>
      </c>
      <c r="AB314" s="1998">
        <f>IF(Construction!$F$31=Construction!$R$22,Oeko!CO314,Oeko!FB314)</f>
        <v>0.89999999999999991</v>
      </c>
      <c r="AC314" s="1979">
        <f>IF(Construction!$F$31=Construction!$R$22,Oeko!CP314,Oeko!FC314)</f>
        <v>1.0000000000000002</v>
      </c>
      <c r="AD314" s="1979">
        <f>IF(Construction!$F$31=Construction!$R$22,Oeko!CQ314,Oeko!FD314)</f>
        <v>1.0000000000000002</v>
      </c>
      <c r="AE314" s="1979">
        <f>IF(Construction!$F$31=Construction!$R$22,Oeko!CR314,Oeko!FE314)</f>
        <v>1.0000000000000002</v>
      </c>
      <c r="AF314" s="1979">
        <f>IF(Construction!$F$31=Construction!$R$22,Oeko!CS314,Oeko!FF314)</f>
        <v>1.0000000000000002</v>
      </c>
      <c r="AG314" s="1979">
        <f>IF(Construction!$F$31=Construction!$R$22,Oeko!CT314,Oeko!FG314)</f>
        <v>1.0000000000000002</v>
      </c>
      <c r="AH314" s="1998">
        <f>IF(Construction!$F$31=Construction!$R$22,Oeko!CU314,Oeko!FH314)</f>
        <v>1.333333333333333</v>
      </c>
      <c r="AI314" s="1998">
        <f>IF(Construction!$F$31=Construction!$R$22,Oeko!CV314,Oeko!FI314)</f>
        <v>1.333333333333333</v>
      </c>
      <c r="AJ314" s="1998">
        <f>IF(Construction!$F$31=Construction!$R$22,Oeko!CW314,Oeko!FJ314)</f>
        <v>1.333333333333333</v>
      </c>
      <c r="AK314" s="1998">
        <f>IF(Construction!$F$31=Construction!$R$22,Oeko!CX314,Oeko!FK314)</f>
        <v>1.333333333333333</v>
      </c>
      <c r="AL314" s="1998">
        <f>IF(Construction!$F$31=Construction!$R$22,Oeko!CY314,Oeko!FL314)</f>
        <v>1.333333333333333</v>
      </c>
      <c r="AM314" s="1979">
        <f>IF(Construction!$F$31=Construction!$R$22,Oeko!CZ314,Oeko!FM314)</f>
        <v>1</v>
      </c>
      <c r="AN314" s="1979">
        <f>IF(Construction!$F$31=Construction!$R$22,Oeko!DA314,Oeko!FN314)</f>
        <v>1</v>
      </c>
      <c r="AO314" s="1979">
        <f>IF(Construction!$F$31=Construction!$R$22,Oeko!DB314,Oeko!FO314)</f>
        <v>1</v>
      </c>
      <c r="AP314" s="1979">
        <f>IF(Construction!$F$31=Construction!$R$22,Oeko!DC314,Oeko!FP314)</f>
        <v>1</v>
      </c>
      <c r="AQ314" s="1979">
        <f>IF(Construction!$F$31=Construction!$R$22,Oeko!DD314,Oeko!FQ314)</f>
        <v>1</v>
      </c>
      <c r="AR314" s="1998">
        <f>IF(Construction!$F$31=Construction!$R$22,Oeko!DE314,Oeko!FR314)</f>
        <v>8.0488597659215451</v>
      </c>
      <c r="AS314" s="1998">
        <f>IF(Construction!$F$31=Construction!$R$22,Oeko!DF314,Oeko!FS314)</f>
        <v>8.0488597659215451</v>
      </c>
      <c r="AT314" s="1998">
        <f>IF(Construction!$F$31=Construction!$R$22,Oeko!DG314,Oeko!FT314)</f>
        <v>8.0488597659215451</v>
      </c>
      <c r="AU314" s="1998">
        <f>IF(Construction!$F$31=Construction!$R$22,Oeko!DH314,Oeko!FU314)</f>
        <v>8.0488597659215451</v>
      </c>
      <c r="AV314" s="1998">
        <f>IF(Construction!$F$31=Construction!$R$22,Oeko!DI314,Oeko!FV314)</f>
        <v>8.0488597659215451</v>
      </c>
      <c r="AW314" s="1979">
        <f>IF(Construction!$F$31=Construction!$R$22,Oeko!DJ314,Oeko!FW314)</f>
        <v>8.0329061668367086</v>
      </c>
      <c r="AX314" s="1979">
        <f>IF(Construction!$F$31=Construction!$R$22,Oeko!DK314,Oeko!FX314)</f>
        <v>8.0329061668367086</v>
      </c>
      <c r="AY314" s="1979">
        <f>IF(Construction!$F$31=Construction!$R$22,Oeko!DL314,Oeko!FY314)</f>
        <v>8.0329061668367086</v>
      </c>
      <c r="AZ314" s="1979">
        <f>IF(Construction!$F$31=Construction!$R$22,Oeko!DM314,Oeko!FZ314)</f>
        <v>8.0329061668367086</v>
      </c>
      <c r="BA314" s="1979">
        <f>IF(Construction!$F$31=Construction!$R$22,Oeko!DN314,Oeko!GA314)</f>
        <v>8.0329061668367086</v>
      </c>
      <c r="BB314" s="1998">
        <f>IF(Construction!$F$31=Construction!$R$22,Oeko!DO314,Oeko!GB314)</f>
        <v>0.97975662301212196</v>
      </c>
      <c r="BC314" s="1998">
        <f>IF(Construction!$F$31=Construction!$R$22,Oeko!DP314,Oeko!GC314)</f>
        <v>0.97975662301212196</v>
      </c>
      <c r="BD314" s="1998">
        <f>IF(Construction!$F$31=Construction!$R$22,Oeko!DQ314,Oeko!GD314)</f>
        <v>0.97975662301212196</v>
      </c>
      <c r="BE314" s="1998">
        <f>IF(Construction!$F$31=Construction!$R$22,Oeko!DR314,Oeko!GE314)</f>
        <v>0.97975662301212196</v>
      </c>
      <c r="BF314" s="1998">
        <f>IF(Construction!$F$31=Construction!$R$22,Oeko!DS314,Oeko!GF314)</f>
        <v>0.97975662301212196</v>
      </c>
      <c r="BG314" s="1979">
        <f>IF(Construction!$F$31=Construction!$R$22,Oeko!DT314,Oeko!GG314)</f>
        <v>0.97614876347816082</v>
      </c>
      <c r="BH314" s="1979">
        <f>IF(Construction!$F$31=Construction!$R$22,Oeko!DU314,Oeko!GH314)</f>
        <v>0.97614876347816082</v>
      </c>
      <c r="BI314" s="1979">
        <f>IF(Construction!$F$31=Construction!$R$22,Oeko!DV314,Oeko!GI314)</f>
        <v>0.97614876347816082</v>
      </c>
      <c r="BJ314" s="1979">
        <f>IF(Construction!$F$31=Construction!$R$22,Oeko!DW314,Oeko!GJ314)</f>
        <v>0.97614876347816082</v>
      </c>
      <c r="BK314" s="2021">
        <f>IF(Construction!$F$31=Construction!$R$22,Oeko!DX314,Oeko!GK314)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IF(Construction!$F$31=Construction!$R$22,Oeko!BQ315,Oeko!ED315)</f>
        <v>1.09375</v>
      </c>
      <c r="E315" s="1998">
        <f>IF(Construction!$F$31=Construction!$R$22,Oeko!BR315,Oeko!EE315)</f>
        <v>0.99999999999999989</v>
      </c>
      <c r="F315" s="1998">
        <f>IF(Construction!$F$31=Construction!$R$22,Oeko!BS315,Oeko!EF315)</f>
        <v>0.99999999999999989</v>
      </c>
      <c r="G315" s="1998">
        <f>IF(Construction!$F$31=Construction!$R$22,Oeko!BT315,Oeko!EG315)</f>
        <v>0.99999999999999989</v>
      </c>
      <c r="H315" s="1998">
        <f>IF(Construction!$F$31=Construction!$R$22,Oeko!BU315,Oeko!EH315)</f>
        <v>0.99999999999999989</v>
      </c>
      <c r="I315" s="1979">
        <f>IF(Construction!$F$31=Construction!$R$22,Oeko!BV315,Oeko!EI315)</f>
        <v>1.333333333333333</v>
      </c>
      <c r="J315" s="1979">
        <f>IF(Construction!$F$31=Construction!$R$22,Oeko!BW315,Oeko!EJ315)</f>
        <v>1.333333333333333</v>
      </c>
      <c r="K315" s="1979">
        <f>IF(Construction!$F$31=Construction!$R$22,Oeko!BX315,Oeko!EK315)</f>
        <v>1.333333333333333</v>
      </c>
      <c r="L315" s="1979">
        <f>IF(Construction!$F$31=Construction!$R$22,Oeko!BY315,Oeko!EL315)</f>
        <v>1.333333333333333</v>
      </c>
      <c r="M315" s="1979">
        <f>IF(Construction!$F$31=Construction!$R$22,Oeko!BZ315,Oeko!EM315)</f>
        <v>1.333333333333333</v>
      </c>
      <c r="N315" s="1998">
        <f>IF(Construction!$F$31=Construction!$R$22,Oeko!CA315,Oeko!EN315)</f>
        <v>0.85714285714285721</v>
      </c>
      <c r="O315" s="1998">
        <f>IF(Construction!$F$31=Construction!$R$22,Oeko!CB315,Oeko!EO315)</f>
        <v>0.85714285714285721</v>
      </c>
      <c r="P315" s="1998">
        <f>IF(Construction!$F$31=Construction!$R$22,Oeko!CC315,Oeko!EP315)</f>
        <v>0.85714285714285721</v>
      </c>
      <c r="Q315" s="1998">
        <f>IF(Construction!$F$31=Construction!$R$22,Oeko!CD315,Oeko!EQ315)</f>
        <v>0.85714285714285721</v>
      </c>
      <c r="R315" s="1998">
        <f>IF(Construction!$F$31=Construction!$R$22,Oeko!CE315,Oeko!ER315)</f>
        <v>0.85714285714285721</v>
      </c>
      <c r="S315" s="1979">
        <f>IF(Construction!$F$31=Construction!$R$22,Oeko!CF315,Oeko!ES315)</f>
        <v>1.125</v>
      </c>
      <c r="T315" s="1979">
        <f>IF(Construction!$F$31=Construction!$R$22,Oeko!CG315,Oeko!ET315)</f>
        <v>1.125</v>
      </c>
      <c r="U315" s="1979">
        <f>IF(Construction!$F$31=Construction!$R$22,Oeko!CH315,Oeko!EU315)</f>
        <v>1.125</v>
      </c>
      <c r="V315" s="1979">
        <f>IF(Construction!$F$31=Construction!$R$22,Oeko!CI315,Oeko!EV315)</f>
        <v>1.125</v>
      </c>
      <c r="W315" s="1979">
        <f>IF(Construction!$F$31=Construction!$R$22,Oeko!CJ315,Oeko!EW315)</f>
        <v>1.125</v>
      </c>
      <c r="X315" s="1998">
        <f>IF(Construction!$F$31=Construction!$R$22,Oeko!CK315,Oeko!EX315)</f>
        <v>0.9</v>
      </c>
      <c r="Y315" s="1998">
        <f>IF(Construction!$F$31=Construction!$R$22,Oeko!CL315,Oeko!EY315)</f>
        <v>0.9</v>
      </c>
      <c r="Z315" s="1998">
        <f>IF(Construction!$F$31=Construction!$R$22,Oeko!CM315,Oeko!EZ315)</f>
        <v>0.9</v>
      </c>
      <c r="AA315" s="1998">
        <f>IF(Construction!$F$31=Construction!$R$22,Oeko!CN315,Oeko!FA315)</f>
        <v>0.9</v>
      </c>
      <c r="AB315" s="1998">
        <f>IF(Construction!$F$31=Construction!$R$22,Oeko!CO315,Oeko!FB315)</f>
        <v>0.9</v>
      </c>
      <c r="AC315" s="1979">
        <f>IF(Construction!$F$31=Construction!$R$22,Oeko!CP315,Oeko!FC315)</f>
        <v>1</v>
      </c>
      <c r="AD315" s="1979">
        <f>IF(Construction!$F$31=Construction!$R$22,Oeko!CQ315,Oeko!FD315)</f>
        <v>1</v>
      </c>
      <c r="AE315" s="1979">
        <f>IF(Construction!$F$31=Construction!$R$22,Oeko!CR315,Oeko!FE315)</f>
        <v>1</v>
      </c>
      <c r="AF315" s="1979">
        <f>IF(Construction!$F$31=Construction!$R$22,Oeko!CS315,Oeko!FF315)</f>
        <v>1</v>
      </c>
      <c r="AG315" s="1979">
        <f>IF(Construction!$F$31=Construction!$R$22,Oeko!CT315,Oeko!FG315)</f>
        <v>1</v>
      </c>
      <c r="AH315" s="1998">
        <f>IF(Construction!$F$31=Construction!$R$22,Oeko!CU315,Oeko!FH315)</f>
        <v>1.333333333333333</v>
      </c>
      <c r="AI315" s="1998">
        <f>IF(Construction!$F$31=Construction!$R$22,Oeko!CV315,Oeko!FI315)</f>
        <v>1.333333333333333</v>
      </c>
      <c r="AJ315" s="1998">
        <f>IF(Construction!$F$31=Construction!$R$22,Oeko!CW315,Oeko!FJ315)</f>
        <v>1.333333333333333</v>
      </c>
      <c r="AK315" s="1998">
        <f>IF(Construction!$F$31=Construction!$R$22,Oeko!CX315,Oeko!FK315)</f>
        <v>1.333333333333333</v>
      </c>
      <c r="AL315" s="1998">
        <f>IF(Construction!$F$31=Construction!$R$22,Oeko!CY315,Oeko!FL315)</f>
        <v>1.333333333333333</v>
      </c>
      <c r="AM315" s="1979">
        <f>IF(Construction!$F$31=Construction!$R$22,Oeko!CZ315,Oeko!FM315)</f>
        <v>1</v>
      </c>
      <c r="AN315" s="1979">
        <f>IF(Construction!$F$31=Construction!$R$22,Oeko!DA315,Oeko!FN315)</f>
        <v>1</v>
      </c>
      <c r="AO315" s="1979">
        <f>IF(Construction!$F$31=Construction!$R$22,Oeko!DB315,Oeko!FO315)</f>
        <v>1</v>
      </c>
      <c r="AP315" s="1979">
        <f>IF(Construction!$F$31=Construction!$R$22,Oeko!DC315,Oeko!FP315)</f>
        <v>1</v>
      </c>
      <c r="AQ315" s="1979">
        <f>IF(Construction!$F$31=Construction!$R$22,Oeko!DD315,Oeko!FQ315)</f>
        <v>1</v>
      </c>
      <c r="AR315" s="1998">
        <f>IF(Construction!$F$31=Construction!$R$22,Oeko!DE315,Oeko!FR315)</f>
        <v>8.0488597659215468</v>
      </c>
      <c r="AS315" s="1998">
        <f>IF(Construction!$F$31=Construction!$R$22,Oeko!DF315,Oeko!FS315)</f>
        <v>8.0488597659215468</v>
      </c>
      <c r="AT315" s="1998">
        <f>IF(Construction!$F$31=Construction!$R$22,Oeko!DG315,Oeko!FT315)</f>
        <v>8.0488597659215468</v>
      </c>
      <c r="AU315" s="1998">
        <f>IF(Construction!$F$31=Construction!$R$22,Oeko!DH315,Oeko!FU315)</f>
        <v>8.0488597659215468</v>
      </c>
      <c r="AV315" s="1998">
        <f>IF(Construction!$F$31=Construction!$R$22,Oeko!DI315,Oeko!FV315)</f>
        <v>8.0488597659215468</v>
      </c>
      <c r="AW315" s="1979">
        <f>IF(Construction!$F$31=Construction!$R$22,Oeko!DJ315,Oeko!FW315)</f>
        <v>8.0329061668367086</v>
      </c>
      <c r="AX315" s="1979">
        <f>IF(Construction!$F$31=Construction!$R$22,Oeko!DK315,Oeko!FX315)</f>
        <v>8.0329061668367086</v>
      </c>
      <c r="AY315" s="1979">
        <f>IF(Construction!$F$31=Construction!$R$22,Oeko!DL315,Oeko!FY315)</f>
        <v>8.0329061668367086</v>
      </c>
      <c r="AZ315" s="1979">
        <f>IF(Construction!$F$31=Construction!$R$22,Oeko!DM315,Oeko!FZ315)</f>
        <v>8.0329061668367086</v>
      </c>
      <c r="BA315" s="1979">
        <f>IF(Construction!$F$31=Construction!$R$22,Oeko!DN315,Oeko!GA315)</f>
        <v>8.0329061668367086</v>
      </c>
      <c r="BB315" s="1998">
        <f>IF(Construction!$F$31=Construction!$R$22,Oeko!DO315,Oeko!GB315)</f>
        <v>0.97975662301212196</v>
      </c>
      <c r="BC315" s="1998">
        <f>IF(Construction!$F$31=Construction!$R$22,Oeko!DP315,Oeko!GC315)</f>
        <v>0.97975662301212196</v>
      </c>
      <c r="BD315" s="1998">
        <f>IF(Construction!$F$31=Construction!$R$22,Oeko!DQ315,Oeko!GD315)</f>
        <v>0.97975662301212196</v>
      </c>
      <c r="BE315" s="1998">
        <f>IF(Construction!$F$31=Construction!$R$22,Oeko!DR315,Oeko!GE315)</f>
        <v>0.97975662301212196</v>
      </c>
      <c r="BF315" s="1998">
        <f>IF(Construction!$F$31=Construction!$R$22,Oeko!DS315,Oeko!GF315)</f>
        <v>0.97975662301212196</v>
      </c>
      <c r="BG315" s="1979">
        <f>IF(Construction!$F$31=Construction!$R$22,Oeko!DT315,Oeko!GG315)</f>
        <v>0.97614876347816082</v>
      </c>
      <c r="BH315" s="1979">
        <f>IF(Construction!$F$31=Construction!$R$22,Oeko!DU315,Oeko!GH315)</f>
        <v>0.97614876347816082</v>
      </c>
      <c r="BI315" s="1979">
        <f>IF(Construction!$F$31=Construction!$R$22,Oeko!DV315,Oeko!GI315)</f>
        <v>0.97614876347816082</v>
      </c>
      <c r="BJ315" s="1979">
        <f>IF(Construction!$F$31=Construction!$R$22,Oeko!DW315,Oeko!GJ315)</f>
        <v>0.97614876347816082</v>
      </c>
      <c r="BK315" s="2021">
        <f>IF(Construction!$F$31=Construction!$R$22,Oeko!DX315,Oeko!GK315)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IF(Construction!$F$31=Construction!$R$22,Oeko!BQ316,Oeko!ED316)</f>
        <v>1.09375</v>
      </c>
      <c r="E316" s="1998">
        <f>IF(Construction!$F$31=Construction!$R$22,Oeko!BR316,Oeko!EE316)</f>
        <v>0.99999999999999989</v>
      </c>
      <c r="F316" s="1998">
        <f>IF(Construction!$F$31=Construction!$R$22,Oeko!BS316,Oeko!EF316)</f>
        <v>0.99999999999999989</v>
      </c>
      <c r="G316" s="1998">
        <f>IF(Construction!$F$31=Construction!$R$22,Oeko!BT316,Oeko!EG316)</f>
        <v>0.99999999999999989</v>
      </c>
      <c r="H316" s="1998">
        <f>IF(Construction!$F$31=Construction!$R$22,Oeko!BU316,Oeko!EH316)</f>
        <v>0.99999999999999989</v>
      </c>
      <c r="I316" s="1979">
        <f>IF(Construction!$F$31=Construction!$R$22,Oeko!BV316,Oeko!EI316)</f>
        <v>1</v>
      </c>
      <c r="J316" s="1979">
        <f>IF(Construction!$F$31=Construction!$R$22,Oeko!BW316,Oeko!EJ316)</f>
        <v>1</v>
      </c>
      <c r="K316" s="1979">
        <f>IF(Construction!$F$31=Construction!$R$22,Oeko!BX316,Oeko!EK316)</f>
        <v>1</v>
      </c>
      <c r="L316" s="1979">
        <f>IF(Construction!$F$31=Construction!$R$22,Oeko!BY316,Oeko!EL316)</f>
        <v>1</v>
      </c>
      <c r="M316" s="1979">
        <f>IF(Construction!$F$31=Construction!$R$22,Oeko!BZ316,Oeko!EM316)</f>
        <v>1</v>
      </c>
      <c r="N316" s="1998">
        <f>IF(Construction!$F$31=Construction!$R$22,Oeko!CA316,Oeko!EN316)</f>
        <v>0.76190476190476186</v>
      </c>
      <c r="O316" s="1998">
        <f>IF(Construction!$F$31=Construction!$R$22,Oeko!CB316,Oeko!EO316)</f>
        <v>0.76190476190476186</v>
      </c>
      <c r="P316" s="1998">
        <f>IF(Construction!$F$31=Construction!$R$22,Oeko!CC316,Oeko!EP316)</f>
        <v>0.76190476190476186</v>
      </c>
      <c r="Q316" s="1998">
        <f>IF(Construction!$F$31=Construction!$R$22,Oeko!CD316,Oeko!EQ316)</f>
        <v>0.76190476190476186</v>
      </c>
      <c r="R316" s="1998">
        <f>IF(Construction!$F$31=Construction!$R$22,Oeko!CE316,Oeko!ER316)</f>
        <v>0.76190476190476186</v>
      </c>
      <c r="S316" s="1979">
        <f>IF(Construction!$F$31=Construction!$R$22,Oeko!CF316,Oeko!ES316)</f>
        <v>1.1250000000000002</v>
      </c>
      <c r="T316" s="1979">
        <f>IF(Construction!$F$31=Construction!$R$22,Oeko!CG316,Oeko!ET316)</f>
        <v>1.1250000000000002</v>
      </c>
      <c r="U316" s="1979">
        <f>IF(Construction!$F$31=Construction!$R$22,Oeko!CH316,Oeko!EU316)</f>
        <v>1.1250000000000002</v>
      </c>
      <c r="V316" s="1979">
        <f>IF(Construction!$F$31=Construction!$R$22,Oeko!CI316,Oeko!EV316)</f>
        <v>1.1250000000000002</v>
      </c>
      <c r="W316" s="1979">
        <f>IF(Construction!$F$31=Construction!$R$22,Oeko!CJ316,Oeko!EW316)</f>
        <v>1.1250000000000002</v>
      </c>
      <c r="X316" s="1998">
        <f>IF(Construction!$F$31=Construction!$R$22,Oeko!CK316,Oeko!EX316)</f>
        <v>0.8</v>
      </c>
      <c r="Y316" s="1998">
        <f>IF(Construction!$F$31=Construction!$R$22,Oeko!CL316,Oeko!EY316)</f>
        <v>0.8</v>
      </c>
      <c r="Z316" s="1998">
        <f>IF(Construction!$F$31=Construction!$R$22,Oeko!CM316,Oeko!EZ316)</f>
        <v>0.8</v>
      </c>
      <c r="AA316" s="1998">
        <f>IF(Construction!$F$31=Construction!$R$22,Oeko!CN316,Oeko!FA316)</f>
        <v>0.8</v>
      </c>
      <c r="AB316" s="1998">
        <f>IF(Construction!$F$31=Construction!$R$22,Oeko!CO316,Oeko!FB316)</f>
        <v>0.8</v>
      </c>
      <c r="AC316" s="1979">
        <f>IF(Construction!$F$31=Construction!$R$22,Oeko!CP316,Oeko!FC316)</f>
        <v>1.0000000000000002</v>
      </c>
      <c r="AD316" s="1979">
        <f>IF(Construction!$F$31=Construction!$R$22,Oeko!CQ316,Oeko!FD316)</f>
        <v>1.0000000000000002</v>
      </c>
      <c r="AE316" s="1979">
        <f>IF(Construction!$F$31=Construction!$R$22,Oeko!CR316,Oeko!FE316)</f>
        <v>1.0000000000000002</v>
      </c>
      <c r="AF316" s="1979">
        <f>IF(Construction!$F$31=Construction!$R$22,Oeko!CS316,Oeko!FF316)</f>
        <v>1.0000000000000002</v>
      </c>
      <c r="AG316" s="1979">
        <f>IF(Construction!$F$31=Construction!$R$22,Oeko!CT316,Oeko!FG316)</f>
        <v>1.0000000000000002</v>
      </c>
      <c r="AH316" s="1998">
        <f>IF(Construction!$F$31=Construction!$R$22,Oeko!CU316,Oeko!FH316)</f>
        <v>1</v>
      </c>
      <c r="AI316" s="1998">
        <f>IF(Construction!$F$31=Construction!$R$22,Oeko!CV316,Oeko!FI316)</f>
        <v>1</v>
      </c>
      <c r="AJ316" s="1998">
        <f>IF(Construction!$F$31=Construction!$R$22,Oeko!CW316,Oeko!FJ316)</f>
        <v>1</v>
      </c>
      <c r="AK316" s="1998">
        <f>IF(Construction!$F$31=Construction!$R$22,Oeko!CX316,Oeko!FK316)</f>
        <v>1</v>
      </c>
      <c r="AL316" s="1998">
        <f>IF(Construction!$F$31=Construction!$R$22,Oeko!CY316,Oeko!FL316)</f>
        <v>1</v>
      </c>
      <c r="AM316" s="1979">
        <f>IF(Construction!$F$31=Construction!$R$22,Oeko!CZ316,Oeko!FM316)</f>
        <v>0.88888888888888884</v>
      </c>
      <c r="AN316" s="1979">
        <f>IF(Construction!$F$31=Construction!$R$22,Oeko!DA316,Oeko!FN316)</f>
        <v>0.88888888888888884</v>
      </c>
      <c r="AO316" s="1979">
        <f>IF(Construction!$F$31=Construction!$R$22,Oeko!DB316,Oeko!FO316)</f>
        <v>0.88888888888888884</v>
      </c>
      <c r="AP316" s="1979">
        <f>IF(Construction!$F$31=Construction!$R$22,Oeko!DC316,Oeko!FP316)</f>
        <v>0.88888888888888884</v>
      </c>
      <c r="AQ316" s="1979">
        <f>IF(Construction!$F$31=Construction!$R$22,Oeko!DD316,Oeko!FQ316)</f>
        <v>0.88888888888888884</v>
      </c>
      <c r="AR316" s="1998">
        <f>IF(Construction!$F$31=Construction!$R$22,Oeko!DE316,Oeko!FR316)</f>
        <v>8.0488597659215468</v>
      </c>
      <c r="AS316" s="1998">
        <f>IF(Construction!$F$31=Construction!$R$22,Oeko!DF316,Oeko!FS316)</f>
        <v>8.0488597659215468</v>
      </c>
      <c r="AT316" s="1998">
        <f>IF(Construction!$F$31=Construction!$R$22,Oeko!DG316,Oeko!FT316)</f>
        <v>8.0488597659215468</v>
      </c>
      <c r="AU316" s="1998">
        <f>IF(Construction!$F$31=Construction!$R$22,Oeko!DH316,Oeko!FU316)</f>
        <v>8.0488597659215468</v>
      </c>
      <c r="AV316" s="1998">
        <f>IF(Construction!$F$31=Construction!$R$22,Oeko!DI316,Oeko!FV316)</f>
        <v>8.0488597659215468</v>
      </c>
      <c r="AW316" s="1979">
        <f>IF(Construction!$F$31=Construction!$R$22,Oeko!DJ316,Oeko!FW316)</f>
        <v>8.0329061668367068</v>
      </c>
      <c r="AX316" s="1979">
        <f>IF(Construction!$F$31=Construction!$R$22,Oeko!DK316,Oeko!FX316)</f>
        <v>8.0329061668367068</v>
      </c>
      <c r="AY316" s="1979">
        <f>IF(Construction!$F$31=Construction!$R$22,Oeko!DL316,Oeko!FY316)</f>
        <v>8.0329061668367068</v>
      </c>
      <c r="AZ316" s="1979">
        <f>IF(Construction!$F$31=Construction!$R$22,Oeko!DM316,Oeko!FZ316)</f>
        <v>8.0329061668367068</v>
      </c>
      <c r="BA316" s="1979">
        <f>IF(Construction!$F$31=Construction!$R$22,Oeko!DN316,Oeko!GA316)</f>
        <v>8.0329061668367068</v>
      </c>
      <c r="BB316" s="1998">
        <f>IF(Construction!$F$31=Construction!$R$22,Oeko!DO316,Oeko!GB316)</f>
        <v>0.97975662301212196</v>
      </c>
      <c r="BC316" s="1998">
        <f>IF(Construction!$F$31=Construction!$R$22,Oeko!DP316,Oeko!GC316)</f>
        <v>0.97975662301212196</v>
      </c>
      <c r="BD316" s="1998">
        <f>IF(Construction!$F$31=Construction!$R$22,Oeko!DQ316,Oeko!GD316)</f>
        <v>0.97975662301212196</v>
      </c>
      <c r="BE316" s="1998">
        <f>IF(Construction!$F$31=Construction!$R$22,Oeko!DR316,Oeko!GE316)</f>
        <v>0.97975662301212196</v>
      </c>
      <c r="BF316" s="1998">
        <f>IF(Construction!$F$31=Construction!$R$22,Oeko!DS316,Oeko!GF316)</f>
        <v>0.97975662301212196</v>
      </c>
      <c r="BG316" s="1979">
        <f>IF(Construction!$F$31=Construction!$R$22,Oeko!DT316,Oeko!GG316)</f>
        <v>0.9761487634781606</v>
      </c>
      <c r="BH316" s="1979">
        <f>IF(Construction!$F$31=Construction!$R$22,Oeko!DU316,Oeko!GH316)</f>
        <v>0.9761487634781606</v>
      </c>
      <c r="BI316" s="1979">
        <f>IF(Construction!$F$31=Construction!$R$22,Oeko!DV316,Oeko!GI316)</f>
        <v>0.9761487634781606</v>
      </c>
      <c r="BJ316" s="1979">
        <f>IF(Construction!$F$31=Construction!$R$22,Oeko!DW316,Oeko!GJ316)</f>
        <v>0.9761487634781606</v>
      </c>
      <c r="BK316" s="2021">
        <f>IF(Construction!$F$31=Construction!$R$22,Oeko!DX316,Oeko!GK316)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IF(Construction!$F$31=Construction!$R$22,Oeko!BQ317,Oeko!ED317)</f>
        <v>1.09375</v>
      </c>
      <c r="E317" s="1998">
        <f>IF(Construction!$F$31=Construction!$R$22,Oeko!BR317,Oeko!EE317)</f>
        <v>0.9722222222222221</v>
      </c>
      <c r="F317" s="1998">
        <f>IF(Construction!$F$31=Construction!$R$22,Oeko!BS317,Oeko!EF317)</f>
        <v>0.9722222222222221</v>
      </c>
      <c r="G317" s="1998">
        <f>IF(Construction!$F$31=Construction!$R$22,Oeko!BT317,Oeko!EG317)</f>
        <v>0.9722222222222221</v>
      </c>
      <c r="H317" s="1998">
        <f>IF(Construction!$F$31=Construction!$R$22,Oeko!BU317,Oeko!EH317)</f>
        <v>0.9722222222222221</v>
      </c>
      <c r="I317" s="1979">
        <f>IF(Construction!$F$31=Construction!$R$22,Oeko!BV317,Oeko!EI317)</f>
        <v>1</v>
      </c>
      <c r="J317" s="1979">
        <f>IF(Construction!$F$31=Construction!$R$22,Oeko!BW317,Oeko!EJ317)</f>
        <v>1</v>
      </c>
      <c r="K317" s="1979">
        <f>IF(Construction!$F$31=Construction!$R$22,Oeko!BX317,Oeko!EK317)</f>
        <v>1</v>
      </c>
      <c r="L317" s="1979">
        <f>IF(Construction!$F$31=Construction!$R$22,Oeko!BY317,Oeko!EL317)</f>
        <v>1</v>
      </c>
      <c r="M317" s="1979">
        <f>IF(Construction!$F$31=Construction!$R$22,Oeko!BZ317,Oeko!EM317)</f>
        <v>1</v>
      </c>
      <c r="N317" s="1998">
        <f>IF(Construction!$F$31=Construction!$R$22,Oeko!CA317,Oeko!EN317)</f>
        <v>0.76190476190476186</v>
      </c>
      <c r="O317" s="1998">
        <f>IF(Construction!$F$31=Construction!$R$22,Oeko!CB317,Oeko!EO317)</f>
        <v>0.76190476190476186</v>
      </c>
      <c r="P317" s="1998">
        <f>IF(Construction!$F$31=Construction!$R$22,Oeko!CC317,Oeko!EP317)</f>
        <v>0.76190476190476186</v>
      </c>
      <c r="Q317" s="1998">
        <f>IF(Construction!$F$31=Construction!$R$22,Oeko!CD317,Oeko!EQ317)</f>
        <v>0.76190476190476186</v>
      </c>
      <c r="R317" s="1998">
        <f>IF(Construction!$F$31=Construction!$R$22,Oeko!CE317,Oeko!ER317)</f>
        <v>0.76190476190476186</v>
      </c>
      <c r="S317" s="1979">
        <f>IF(Construction!$F$31=Construction!$R$22,Oeko!CF317,Oeko!ES317)</f>
        <v>1</v>
      </c>
      <c r="T317" s="1979">
        <f>IF(Construction!$F$31=Construction!$R$22,Oeko!CG317,Oeko!ET317)</f>
        <v>1</v>
      </c>
      <c r="U317" s="1979">
        <f>IF(Construction!$F$31=Construction!$R$22,Oeko!CH317,Oeko!EU317)</f>
        <v>1</v>
      </c>
      <c r="V317" s="1979">
        <f>IF(Construction!$F$31=Construction!$R$22,Oeko!CI317,Oeko!EV317)</f>
        <v>1</v>
      </c>
      <c r="W317" s="1979">
        <f>IF(Construction!$F$31=Construction!$R$22,Oeko!CJ317,Oeko!EW317)</f>
        <v>1</v>
      </c>
      <c r="X317" s="1998">
        <f>IF(Construction!$F$31=Construction!$R$22,Oeko!CK317,Oeko!EX317)</f>
        <v>0.79999999999999982</v>
      </c>
      <c r="Y317" s="1998">
        <f>IF(Construction!$F$31=Construction!$R$22,Oeko!CL317,Oeko!EY317)</f>
        <v>0.79999999999999982</v>
      </c>
      <c r="Z317" s="1998">
        <f>IF(Construction!$F$31=Construction!$R$22,Oeko!CM317,Oeko!EZ317)</f>
        <v>0.79999999999999982</v>
      </c>
      <c r="AA317" s="1998">
        <f>IF(Construction!$F$31=Construction!$R$22,Oeko!CN317,Oeko!FA317)</f>
        <v>0.79999999999999982</v>
      </c>
      <c r="AB317" s="1998">
        <f>IF(Construction!$F$31=Construction!$R$22,Oeko!CO317,Oeko!FB317)</f>
        <v>0.79999999999999982</v>
      </c>
      <c r="AC317" s="1979">
        <f>IF(Construction!$F$31=Construction!$R$22,Oeko!CP317,Oeko!FC317)</f>
        <v>1.0000000000000002</v>
      </c>
      <c r="AD317" s="1979">
        <f>IF(Construction!$F$31=Construction!$R$22,Oeko!CQ317,Oeko!FD317)</f>
        <v>1.0000000000000002</v>
      </c>
      <c r="AE317" s="1979">
        <f>IF(Construction!$F$31=Construction!$R$22,Oeko!CR317,Oeko!FE317)</f>
        <v>1.0000000000000002</v>
      </c>
      <c r="AF317" s="1979">
        <f>IF(Construction!$F$31=Construction!$R$22,Oeko!CS317,Oeko!FF317)</f>
        <v>1.0000000000000002</v>
      </c>
      <c r="AG317" s="1979">
        <f>IF(Construction!$F$31=Construction!$R$22,Oeko!CT317,Oeko!FG317)</f>
        <v>1.0000000000000002</v>
      </c>
      <c r="AH317" s="1998">
        <f>IF(Construction!$F$31=Construction!$R$22,Oeko!CU317,Oeko!FH317)</f>
        <v>0.99999999999999978</v>
      </c>
      <c r="AI317" s="1998">
        <f>IF(Construction!$F$31=Construction!$R$22,Oeko!CV317,Oeko!FI317)</f>
        <v>0.99999999999999978</v>
      </c>
      <c r="AJ317" s="1998">
        <f>IF(Construction!$F$31=Construction!$R$22,Oeko!CW317,Oeko!FJ317)</f>
        <v>0.99999999999999978</v>
      </c>
      <c r="AK317" s="1998">
        <f>IF(Construction!$F$31=Construction!$R$22,Oeko!CX317,Oeko!FK317)</f>
        <v>0.99999999999999978</v>
      </c>
      <c r="AL317" s="1998">
        <f>IF(Construction!$F$31=Construction!$R$22,Oeko!CY317,Oeko!FL317)</f>
        <v>0.99999999999999978</v>
      </c>
      <c r="AM317" s="1979">
        <f>IF(Construction!$F$31=Construction!$R$22,Oeko!CZ317,Oeko!FM317)</f>
        <v>0.88888888888888884</v>
      </c>
      <c r="AN317" s="1979">
        <f>IF(Construction!$F$31=Construction!$R$22,Oeko!DA317,Oeko!FN317)</f>
        <v>0.88888888888888884</v>
      </c>
      <c r="AO317" s="1979">
        <f>IF(Construction!$F$31=Construction!$R$22,Oeko!DB317,Oeko!FO317)</f>
        <v>0.88888888888888884</v>
      </c>
      <c r="AP317" s="1979">
        <f>IF(Construction!$F$31=Construction!$R$22,Oeko!DC317,Oeko!FP317)</f>
        <v>0.88888888888888884</v>
      </c>
      <c r="AQ317" s="1979">
        <f>IF(Construction!$F$31=Construction!$R$22,Oeko!DD317,Oeko!FQ317)</f>
        <v>0.88888888888888884</v>
      </c>
      <c r="AR317" s="1998">
        <f>IF(Construction!$F$31=Construction!$R$22,Oeko!DE317,Oeko!FR317)</f>
        <v>8.0488597659215451</v>
      </c>
      <c r="AS317" s="1998">
        <f>IF(Construction!$F$31=Construction!$R$22,Oeko!DF317,Oeko!FS317)</f>
        <v>8.0488597659215451</v>
      </c>
      <c r="AT317" s="1998">
        <f>IF(Construction!$F$31=Construction!$R$22,Oeko!DG317,Oeko!FT317)</f>
        <v>8.0488597659215451</v>
      </c>
      <c r="AU317" s="1998">
        <f>IF(Construction!$F$31=Construction!$R$22,Oeko!DH317,Oeko!FU317)</f>
        <v>8.0488597659215451</v>
      </c>
      <c r="AV317" s="1998">
        <f>IF(Construction!$F$31=Construction!$R$22,Oeko!DI317,Oeko!FV317)</f>
        <v>8.0488597659215451</v>
      </c>
      <c r="AW317" s="1979">
        <f>IF(Construction!$F$31=Construction!$R$22,Oeko!DJ317,Oeko!FW317)</f>
        <v>8.0329061668367086</v>
      </c>
      <c r="AX317" s="1979">
        <f>IF(Construction!$F$31=Construction!$R$22,Oeko!DK317,Oeko!FX317)</f>
        <v>8.0329061668367086</v>
      </c>
      <c r="AY317" s="1979">
        <f>IF(Construction!$F$31=Construction!$R$22,Oeko!DL317,Oeko!FY317)</f>
        <v>8.0329061668367086</v>
      </c>
      <c r="AZ317" s="1979">
        <f>IF(Construction!$F$31=Construction!$R$22,Oeko!DM317,Oeko!FZ317)</f>
        <v>8.0329061668367086</v>
      </c>
      <c r="BA317" s="1979">
        <f>IF(Construction!$F$31=Construction!$R$22,Oeko!DN317,Oeko!GA317)</f>
        <v>8.0329061668367086</v>
      </c>
      <c r="BB317" s="1998">
        <f>IF(Construction!$F$31=Construction!$R$22,Oeko!DO317,Oeko!GB317)</f>
        <v>0.97975662301212196</v>
      </c>
      <c r="BC317" s="1998">
        <f>IF(Construction!$F$31=Construction!$R$22,Oeko!DP317,Oeko!GC317)</f>
        <v>0.97975662301212196</v>
      </c>
      <c r="BD317" s="1998">
        <f>IF(Construction!$F$31=Construction!$R$22,Oeko!DQ317,Oeko!GD317)</f>
        <v>0.97975662301212196</v>
      </c>
      <c r="BE317" s="1998">
        <f>IF(Construction!$F$31=Construction!$R$22,Oeko!DR317,Oeko!GE317)</f>
        <v>0.97975662301212196</v>
      </c>
      <c r="BF317" s="1998">
        <f>IF(Construction!$F$31=Construction!$R$22,Oeko!DS317,Oeko!GF317)</f>
        <v>0.97975662301212196</v>
      </c>
      <c r="BG317" s="1979">
        <f>IF(Construction!$F$31=Construction!$R$22,Oeko!DT317,Oeko!GG317)</f>
        <v>0.9761487634781606</v>
      </c>
      <c r="BH317" s="1979">
        <f>IF(Construction!$F$31=Construction!$R$22,Oeko!DU317,Oeko!GH317)</f>
        <v>0.9761487634781606</v>
      </c>
      <c r="BI317" s="1979">
        <f>IF(Construction!$F$31=Construction!$R$22,Oeko!DV317,Oeko!GI317)</f>
        <v>0.9761487634781606</v>
      </c>
      <c r="BJ317" s="1979">
        <f>IF(Construction!$F$31=Construction!$R$22,Oeko!DW317,Oeko!GJ317)</f>
        <v>0.9761487634781606</v>
      </c>
      <c r="BK317" s="2021">
        <f>IF(Construction!$F$31=Construction!$R$22,Oeko!DX317,Oeko!GK317)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IF(Construction!$F$31=Construction!$R$22,Oeko!BQ318,Oeko!ED318)</f>
        <v>1.09375</v>
      </c>
      <c r="E318" s="1998">
        <f>IF(Construction!$F$31=Construction!$R$22,Oeko!BR318,Oeko!EE318)</f>
        <v>0.93333333333333335</v>
      </c>
      <c r="F318" s="1998">
        <f>IF(Construction!$F$31=Construction!$R$22,Oeko!BS318,Oeko!EF318)</f>
        <v>0.93333333333333335</v>
      </c>
      <c r="G318" s="1998">
        <f>IF(Construction!$F$31=Construction!$R$22,Oeko!BT318,Oeko!EG318)</f>
        <v>0.93333333333333335</v>
      </c>
      <c r="H318" s="1998">
        <f>IF(Construction!$F$31=Construction!$R$22,Oeko!BU318,Oeko!EH318)</f>
        <v>0.93333333333333335</v>
      </c>
      <c r="I318" s="1979">
        <f>IF(Construction!$F$31=Construction!$R$22,Oeko!BV318,Oeko!EI318)</f>
        <v>0.99999999999999978</v>
      </c>
      <c r="J318" s="1979">
        <f>IF(Construction!$F$31=Construction!$R$22,Oeko!BW318,Oeko!EJ318)</f>
        <v>0.99999999999999978</v>
      </c>
      <c r="K318" s="1979">
        <f>IF(Construction!$F$31=Construction!$R$22,Oeko!BX318,Oeko!EK318)</f>
        <v>0.99999999999999978</v>
      </c>
      <c r="L318" s="1979">
        <f>IF(Construction!$F$31=Construction!$R$22,Oeko!BY318,Oeko!EL318)</f>
        <v>0.99999999999999978</v>
      </c>
      <c r="M318" s="1979">
        <f>IF(Construction!$F$31=Construction!$R$22,Oeko!BZ318,Oeko!EM318)</f>
        <v>0.99999999999999978</v>
      </c>
      <c r="N318" s="1998">
        <f>IF(Construction!$F$31=Construction!$R$22,Oeko!CA318,Oeko!EN318)</f>
        <v>0.5714285714285714</v>
      </c>
      <c r="O318" s="1998">
        <f>IF(Construction!$F$31=Construction!$R$22,Oeko!CB318,Oeko!EO318)</f>
        <v>0.5714285714285714</v>
      </c>
      <c r="P318" s="1998">
        <f>IF(Construction!$F$31=Construction!$R$22,Oeko!CC318,Oeko!EP318)</f>
        <v>0.5714285714285714</v>
      </c>
      <c r="Q318" s="1998">
        <f>IF(Construction!$F$31=Construction!$R$22,Oeko!CD318,Oeko!EQ318)</f>
        <v>0.5714285714285714</v>
      </c>
      <c r="R318" s="1998">
        <f>IF(Construction!$F$31=Construction!$R$22,Oeko!CE318,Oeko!ER318)</f>
        <v>0.5714285714285714</v>
      </c>
      <c r="S318" s="1979">
        <f>IF(Construction!$F$31=Construction!$R$22,Oeko!CF318,Oeko!ES318)</f>
        <v>0.75000000000000011</v>
      </c>
      <c r="T318" s="1979">
        <f>IF(Construction!$F$31=Construction!$R$22,Oeko!CG318,Oeko!ET318)</f>
        <v>0.75000000000000011</v>
      </c>
      <c r="U318" s="1979">
        <f>IF(Construction!$F$31=Construction!$R$22,Oeko!CH318,Oeko!EU318)</f>
        <v>0.75000000000000011</v>
      </c>
      <c r="V318" s="1979">
        <f>IF(Construction!$F$31=Construction!$R$22,Oeko!CI318,Oeko!EV318)</f>
        <v>0.75000000000000011</v>
      </c>
      <c r="W318" s="1979">
        <f>IF(Construction!$F$31=Construction!$R$22,Oeko!CJ318,Oeko!EW318)</f>
        <v>0.75000000000000011</v>
      </c>
      <c r="X318" s="1998">
        <f>IF(Construction!$F$31=Construction!$R$22,Oeko!CK318,Oeko!EX318)</f>
        <v>0.6</v>
      </c>
      <c r="Y318" s="1998">
        <f>IF(Construction!$F$31=Construction!$R$22,Oeko!CL318,Oeko!EY318)</f>
        <v>0.6</v>
      </c>
      <c r="Z318" s="1998">
        <f>IF(Construction!$F$31=Construction!$R$22,Oeko!CM318,Oeko!EZ318)</f>
        <v>0.6</v>
      </c>
      <c r="AA318" s="1998">
        <f>IF(Construction!$F$31=Construction!$R$22,Oeko!CN318,Oeko!FA318)</f>
        <v>0.6</v>
      </c>
      <c r="AB318" s="1998">
        <f>IF(Construction!$F$31=Construction!$R$22,Oeko!CO318,Oeko!FB318)</f>
        <v>0.6</v>
      </c>
      <c r="AC318" s="1979">
        <f>IF(Construction!$F$31=Construction!$R$22,Oeko!CP318,Oeko!FC318)</f>
        <v>1</v>
      </c>
      <c r="AD318" s="1979">
        <f>IF(Construction!$F$31=Construction!$R$22,Oeko!CQ318,Oeko!FD318)</f>
        <v>1</v>
      </c>
      <c r="AE318" s="1979">
        <f>IF(Construction!$F$31=Construction!$R$22,Oeko!CR318,Oeko!FE318)</f>
        <v>1</v>
      </c>
      <c r="AF318" s="1979">
        <f>IF(Construction!$F$31=Construction!$R$22,Oeko!CS318,Oeko!FF318)</f>
        <v>1</v>
      </c>
      <c r="AG318" s="1979">
        <f>IF(Construction!$F$31=Construction!$R$22,Oeko!CT318,Oeko!FG318)</f>
        <v>1</v>
      </c>
      <c r="AH318" s="1998">
        <f>IF(Construction!$F$31=Construction!$R$22,Oeko!CU318,Oeko!FH318)</f>
        <v>0.99999999999999978</v>
      </c>
      <c r="AI318" s="1998">
        <f>IF(Construction!$F$31=Construction!$R$22,Oeko!CV318,Oeko!FI318)</f>
        <v>0.99999999999999978</v>
      </c>
      <c r="AJ318" s="1998">
        <f>IF(Construction!$F$31=Construction!$R$22,Oeko!CW318,Oeko!FJ318)</f>
        <v>0.99999999999999978</v>
      </c>
      <c r="AK318" s="1998">
        <f>IF(Construction!$F$31=Construction!$R$22,Oeko!CX318,Oeko!FK318)</f>
        <v>0.99999999999999978</v>
      </c>
      <c r="AL318" s="1998">
        <f>IF(Construction!$F$31=Construction!$R$22,Oeko!CY318,Oeko!FL318)</f>
        <v>0.99999999999999978</v>
      </c>
      <c r="AM318" s="1979">
        <f>IF(Construction!$F$31=Construction!$R$22,Oeko!CZ318,Oeko!FM318)</f>
        <v>0.88888888888888884</v>
      </c>
      <c r="AN318" s="1979">
        <f>IF(Construction!$F$31=Construction!$R$22,Oeko!DA318,Oeko!FN318)</f>
        <v>0.88888888888888884</v>
      </c>
      <c r="AO318" s="1979">
        <f>IF(Construction!$F$31=Construction!$R$22,Oeko!DB318,Oeko!FO318)</f>
        <v>0.88888888888888884</v>
      </c>
      <c r="AP318" s="1979">
        <f>IF(Construction!$F$31=Construction!$R$22,Oeko!DC318,Oeko!FP318)</f>
        <v>0.88888888888888884</v>
      </c>
      <c r="AQ318" s="1979">
        <f>IF(Construction!$F$31=Construction!$R$22,Oeko!DD318,Oeko!FQ318)</f>
        <v>0.88888888888888884</v>
      </c>
      <c r="AR318" s="1998">
        <f>IF(Construction!$F$31=Construction!$R$22,Oeko!DE318,Oeko!FR318)</f>
        <v>8.0488597659215451</v>
      </c>
      <c r="AS318" s="1998">
        <f>IF(Construction!$F$31=Construction!$R$22,Oeko!DF318,Oeko!FS318)</f>
        <v>8.0488597659215451</v>
      </c>
      <c r="AT318" s="1998">
        <f>IF(Construction!$F$31=Construction!$R$22,Oeko!DG318,Oeko!FT318)</f>
        <v>8.0488597659215451</v>
      </c>
      <c r="AU318" s="1998">
        <f>IF(Construction!$F$31=Construction!$R$22,Oeko!DH318,Oeko!FU318)</f>
        <v>8.0488597659215451</v>
      </c>
      <c r="AV318" s="1998">
        <f>IF(Construction!$F$31=Construction!$R$22,Oeko!DI318,Oeko!FV318)</f>
        <v>8.0488597659215451</v>
      </c>
      <c r="AW318" s="1979">
        <f>IF(Construction!$F$31=Construction!$R$22,Oeko!DJ318,Oeko!FW318)</f>
        <v>8.0329061668367068</v>
      </c>
      <c r="AX318" s="1979">
        <f>IF(Construction!$F$31=Construction!$R$22,Oeko!DK318,Oeko!FX318)</f>
        <v>8.0329061668367068</v>
      </c>
      <c r="AY318" s="1979">
        <f>IF(Construction!$F$31=Construction!$R$22,Oeko!DL318,Oeko!FY318)</f>
        <v>8.0329061668367068</v>
      </c>
      <c r="AZ318" s="1979">
        <f>IF(Construction!$F$31=Construction!$R$22,Oeko!DM318,Oeko!FZ318)</f>
        <v>8.0329061668367068</v>
      </c>
      <c r="BA318" s="1979">
        <f>IF(Construction!$F$31=Construction!$R$22,Oeko!DN318,Oeko!GA318)</f>
        <v>8.0329061668367068</v>
      </c>
      <c r="BB318" s="1998">
        <f>IF(Construction!$F$31=Construction!$R$22,Oeko!DO318,Oeko!GB318)</f>
        <v>0.97975662301212196</v>
      </c>
      <c r="BC318" s="1998">
        <f>IF(Construction!$F$31=Construction!$R$22,Oeko!DP318,Oeko!GC318)</f>
        <v>0.97975662301212196</v>
      </c>
      <c r="BD318" s="1998">
        <f>IF(Construction!$F$31=Construction!$R$22,Oeko!DQ318,Oeko!GD318)</f>
        <v>0.97975662301212196</v>
      </c>
      <c r="BE318" s="1998">
        <f>IF(Construction!$F$31=Construction!$R$22,Oeko!DR318,Oeko!GE318)</f>
        <v>0.97975662301212196</v>
      </c>
      <c r="BF318" s="1998">
        <f>IF(Construction!$F$31=Construction!$R$22,Oeko!DS318,Oeko!GF318)</f>
        <v>0.97975662301212196</v>
      </c>
      <c r="BG318" s="1979">
        <f>IF(Construction!$F$31=Construction!$R$22,Oeko!DT318,Oeko!GG318)</f>
        <v>0.97614876347816082</v>
      </c>
      <c r="BH318" s="1979">
        <f>IF(Construction!$F$31=Construction!$R$22,Oeko!DU318,Oeko!GH318)</f>
        <v>0.97614876347816082</v>
      </c>
      <c r="BI318" s="1979">
        <f>IF(Construction!$F$31=Construction!$R$22,Oeko!DV318,Oeko!GI318)</f>
        <v>0.97614876347816082</v>
      </c>
      <c r="BJ318" s="1979">
        <f>IF(Construction!$F$31=Construction!$R$22,Oeko!DW318,Oeko!GJ318)</f>
        <v>0.97614876347816082</v>
      </c>
      <c r="BK318" s="2021">
        <f>IF(Construction!$F$31=Construction!$R$22,Oeko!DX318,Oeko!GK318)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Proportion de fenêtres 0</v>
      </c>
      <c r="D319" s="1998">
        <f>IF(Construction!$F$31=Construction!$R$22,Oeko!BQ319,Oeko!ED319)</f>
        <v>0</v>
      </c>
      <c r="E319" s="1998">
        <f>IF(Construction!$F$31=Construction!$R$22,Oeko!BR319,Oeko!EE319)</f>
        <v>0</v>
      </c>
      <c r="F319" s="1998">
        <f>IF(Construction!$F$31=Construction!$R$22,Oeko!BS319,Oeko!EF319)</f>
        <v>0</v>
      </c>
      <c r="G319" s="1998">
        <f>IF(Construction!$F$31=Construction!$R$22,Oeko!BT319,Oeko!EG319)</f>
        <v>0</v>
      </c>
      <c r="H319" s="1998">
        <f>IF(Construction!$F$31=Construction!$R$22,Oeko!BU319,Oeko!EH319)</f>
        <v>0</v>
      </c>
      <c r="I319" s="1979">
        <f>IF(Construction!$F$31=Construction!$R$22,Oeko!BV319,Oeko!EI319)</f>
        <v>0</v>
      </c>
      <c r="J319" s="1979">
        <f>IF(Construction!$F$31=Construction!$R$22,Oeko!BW319,Oeko!EJ319)</f>
        <v>0</v>
      </c>
      <c r="K319" s="1979">
        <f>IF(Construction!$F$31=Construction!$R$22,Oeko!BX319,Oeko!EK319)</f>
        <v>0</v>
      </c>
      <c r="L319" s="1979">
        <f>IF(Construction!$F$31=Construction!$R$22,Oeko!BY319,Oeko!EL319)</f>
        <v>0</v>
      </c>
      <c r="M319" s="1979">
        <f>IF(Construction!$F$31=Construction!$R$22,Oeko!BZ319,Oeko!EM319)</f>
        <v>0</v>
      </c>
      <c r="N319" s="1998">
        <f>IF(Construction!$F$31=Construction!$R$22,Oeko!CA319,Oeko!EN319)</f>
        <v>0</v>
      </c>
      <c r="O319" s="1998">
        <f>IF(Construction!$F$31=Construction!$R$22,Oeko!CB319,Oeko!EO319)</f>
        <v>0</v>
      </c>
      <c r="P319" s="1998">
        <f>IF(Construction!$F$31=Construction!$R$22,Oeko!CC319,Oeko!EP319)</f>
        <v>0</v>
      </c>
      <c r="Q319" s="1998">
        <f>IF(Construction!$F$31=Construction!$R$22,Oeko!CD319,Oeko!EQ319)</f>
        <v>0</v>
      </c>
      <c r="R319" s="1998">
        <f>IF(Construction!$F$31=Construction!$R$22,Oeko!CE319,Oeko!ER319)</f>
        <v>0</v>
      </c>
      <c r="S319" s="1979">
        <f>IF(Construction!$F$31=Construction!$R$22,Oeko!CF319,Oeko!ES319)</f>
        <v>0</v>
      </c>
      <c r="T319" s="1979">
        <f>IF(Construction!$F$31=Construction!$R$22,Oeko!CG319,Oeko!ET319)</f>
        <v>0</v>
      </c>
      <c r="U319" s="1979">
        <f>IF(Construction!$F$31=Construction!$R$22,Oeko!CH319,Oeko!EU319)</f>
        <v>0</v>
      </c>
      <c r="V319" s="1979">
        <f>IF(Construction!$F$31=Construction!$R$22,Oeko!CI319,Oeko!EV319)</f>
        <v>0</v>
      </c>
      <c r="W319" s="1979">
        <f>IF(Construction!$F$31=Construction!$R$22,Oeko!CJ319,Oeko!EW319)</f>
        <v>0</v>
      </c>
      <c r="X319" s="1998">
        <f>IF(Construction!$F$31=Construction!$R$22,Oeko!CK319,Oeko!EX319)</f>
        <v>1</v>
      </c>
      <c r="Y319" s="1998">
        <f>IF(Construction!$F$31=Construction!$R$22,Oeko!CL319,Oeko!EY319)</f>
        <v>1</v>
      </c>
      <c r="Z319" s="1998">
        <f>IF(Construction!$F$31=Construction!$R$22,Oeko!CM319,Oeko!EZ319)</f>
        <v>1</v>
      </c>
      <c r="AA319" s="1998">
        <f>IF(Construction!$F$31=Construction!$R$22,Oeko!CN319,Oeko!FA319)</f>
        <v>1</v>
      </c>
      <c r="AB319" s="1998">
        <f>IF(Construction!$F$31=Construction!$R$22,Oeko!CO319,Oeko!FB319)</f>
        <v>1</v>
      </c>
      <c r="AC319" s="1979">
        <f>IF(Construction!$F$31=Construction!$R$22,Oeko!CP319,Oeko!FC319)</f>
        <v>0</v>
      </c>
      <c r="AD319" s="1979">
        <f>IF(Construction!$F$31=Construction!$R$22,Oeko!CQ319,Oeko!FD319)</f>
        <v>0</v>
      </c>
      <c r="AE319" s="1979">
        <f>IF(Construction!$F$31=Construction!$R$22,Oeko!CR319,Oeko!FE319)</f>
        <v>0</v>
      </c>
      <c r="AF319" s="1979">
        <f>IF(Construction!$F$31=Construction!$R$22,Oeko!CS319,Oeko!FF319)</f>
        <v>0</v>
      </c>
      <c r="AG319" s="1979">
        <f>IF(Construction!$F$31=Construction!$R$22,Oeko!CT319,Oeko!FG319)</f>
        <v>0</v>
      </c>
      <c r="AH319" s="1998">
        <f>IF(Construction!$F$31=Construction!$R$22,Oeko!CU319,Oeko!FH319)</f>
        <v>1</v>
      </c>
      <c r="AI319" s="1998">
        <f>IF(Construction!$F$31=Construction!$R$22,Oeko!CV319,Oeko!FI319)</f>
        <v>1</v>
      </c>
      <c r="AJ319" s="1998">
        <f>IF(Construction!$F$31=Construction!$R$22,Oeko!CW319,Oeko!FJ319)</f>
        <v>1</v>
      </c>
      <c r="AK319" s="1998">
        <f>IF(Construction!$F$31=Construction!$R$22,Oeko!CX319,Oeko!FK319)</f>
        <v>1</v>
      </c>
      <c r="AL319" s="1998">
        <f>IF(Construction!$F$31=Construction!$R$22,Oeko!CY319,Oeko!FL319)</f>
        <v>1</v>
      </c>
      <c r="AM319" s="1979">
        <f>IF(Construction!$F$31=Construction!$R$22,Oeko!CZ319,Oeko!FM319)</f>
        <v>1</v>
      </c>
      <c r="AN319" s="1979">
        <f>IF(Construction!$F$31=Construction!$R$22,Oeko!DA319,Oeko!FN319)</f>
        <v>1</v>
      </c>
      <c r="AO319" s="1979">
        <f>IF(Construction!$F$31=Construction!$R$22,Oeko!DB319,Oeko!FO319)</f>
        <v>1</v>
      </c>
      <c r="AP319" s="1979">
        <f>IF(Construction!$F$31=Construction!$R$22,Oeko!DC319,Oeko!FP319)</f>
        <v>1</v>
      </c>
      <c r="AQ319" s="1979">
        <f>IF(Construction!$F$31=Construction!$R$22,Oeko!DD319,Oeko!FQ319)</f>
        <v>1</v>
      </c>
      <c r="AR319" s="1998">
        <f>IF(Construction!$F$31=Construction!$R$22,Oeko!DE319,Oeko!FR319)</f>
        <v>8.0488597659215451</v>
      </c>
      <c r="AS319" s="1998">
        <f>IF(Construction!$F$31=Construction!$R$22,Oeko!DF319,Oeko!FS319)</f>
        <v>8.0488597659215451</v>
      </c>
      <c r="AT319" s="1998">
        <f>IF(Construction!$F$31=Construction!$R$22,Oeko!DG319,Oeko!FT319)</f>
        <v>8.0488597659215451</v>
      </c>
      <c r="AU319" s="1998">
        <f>IF(Construction!$F$31=Construction!$R$22,Oeko!DH319,Oeko!FU319)</f>
        <v>8.0488597659215451</v>
      </c>
      <c r="AV319" s="1998">
        <f>IF(Construction!$F$31=Construction!$R$22,Oeko!DI319,Oeko!FV319)</f>
        <v>8.0488597659215451</v>
      </c>
      <c r="AW319" s="1979">
        <f>IF(Construction!$F$31=Construction!$R$22,Oeko!DJ319,Oeko!FW319)</f>
        <v>8.0329061668367086</v>
      </c>
      <c r="AX319" s="1979">
        <f>IF(Construction!$F$31=Construction!$R$22,Oeko!DK319,Oeko!FX319)</f>
        <v>8.0329061668367086</v>
      </c>
      <c r="AY319" s="1979">
        <f>IF(Construction!$F$31=Construction!$R$22,Oeko!DL319,Oeko!FY319)</f>
        <v>8.0329061668367086</v>
      </c>
      <c r="AZ319" s="1979">
        <f>IF(Construction!$F$31=Construction!$R$22,Oeko!DM319,Oeko!FZ319)</f>
        <v>8.0329061668367086</v>
      </c>
      <c r="BA319" s="1979">
        <f>IF(Construction!$F$31=Construction!$R$22,Oeko!DN319,Oeko!GA319)</f>
        <v>8.0329061668367086</v>
      </c>
      <c r="BB319" s="1998">
        <f>IF(Construction!$F$31=Construction!$R$22,Oeko!DO319,Oeko!GB319)</f>
        <v>0.97975662301212196</v>
      </c>
      <c r="BC319" s="1998">
        <f>IF(Construction!$F$31=Construction!$R$22,Oeko!DP319,Oeko!GC319)</f>
        <v>0.97975662301212196</v>
      </c>
      <c r="BD319" s="1998">
        <f>IF(Construction!$F$31=Construction!$R$22,Oeko!DQ319,Oeko!GD319)</f>
        <v>0.97975662301212196</v>
      </c>
      <c r="BE319" s="1998">
        <f>IF(Construction!$F$31=Construction!$R$22,Oeko!DR319,Oeko!GE319)</f>
        <v>0.97975662301212196</v>
      </c>
      <c r="BF319" s="1998">
        <f>IF(Construction!$F$31=Construction!$R$22,Oeko!DS319,Oeko!GF319)</f>
        <v>0.97975662301212196</v>
      </c>
      <c r="BG319" s="1979">
        <f>IF(Construction!$F$31=Construction!$R$22,Oeko!DT319,Oeko!GG319)</f>
        <v>0.97614876347816082</v>
      </c>
      <c r="BH319" s="1979">
        <f>IF(Construction!$F$31=Construction!$R$22,Oeko!DU319,Oeko!GH319)</f>
        <v>0.97614876347816082</v>
      </c>
      <c r="BI319" s="1979">
        <f>IF(Construction!$F$31=Construction!$R$22,Oeko!DV319,Oeko!GI319)</f>
        <v>0.97614876347816082</v>
      </c>
      <c r="BJ319" s="1979">
        <f>IF(Construction!$F$31=Construction!$R$22,Oeko!DW319,Oeko!GJ319)</f>
        <v>0.97614876347816082</v>
      </c>
      <c r="BK319" s="2021">
        <f>IF(Construction!$F$31=Construction!$R$22,Oeko!DX319,Oeko!GK319)</f>
        <v>0.97614876347816082</v>
      </c>
      <c r="BN319" s="2022"/>
      <c r="BO319" s="2">
        <v>13</v>
      </c>
      <c r="BP319" s="2" t="str">
        <f>CONCATENATE($U$8," ",$V$10)</f>
        <v>Proportion de fenêtres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Proportion de fenêtres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Proportion de fenêtres 10</v>
      </c>
      <c r="D320" s="1998">
        <f>IF(Construction!$F$31=Construction!$R$22,Oeko!BQ320,Oeko!ED320)</f>
        <v>0</v>
      </c>
      <c r="E320" s="1998">
        <f>IF(Construction!$F$31=Construction!$R$22,Oeko!BR320,Oeko!EE320)</f>
        <v>0</v>
      </c>
      <c r="F320" s="1998">
        <f>IF(Construction!$F$31=Construction!$R$22,Oeko!BS320,Oeko!EF320)</f>
        <v>0</v>
      </c>
      <c r="G320" s="1998">
        <f>IF(Construction!$F$31=Construction!$R$22,Oeko!BT320,Oeko!EG320)</f>
        <v>0</v>
      </c>
      <c r="H320" s="1998">
        <f>IF(Construction!$F$31=Construction!$R$22,Oeko!BU320,Oeko!EH320)</f>
        <v>0</v>
      </c>
      <c r="I320" s="1979">
        <f>IF(Construction!$F$31=Construction!$R$22,Oeko!BV320,Oeko!EI320)</f>
        <v>0</v>
      </c>
      <c r="J320" s="1979">
        <f>IF(Construction!$F$31=Construction!$R$22,Oeko!BW320,Oeko!EJ320)</f>
        <v>0</v>
      </c>
      <c r="K320" s="1979">
        <f>IF(Construction!$F$31=Construction!$R$22,Oeko!BX320,Oeko!EK320)</f>
        <v>0</v>
      </c>
      <c r="L320" s="1979">
        <f>IF(Construction!$F$31=Construction!$R$22,Oeko!BY320,Oeko!EL320)</f>
        <v>0</v>
      </c>
      <c r="M320" s="1979">
        <f>IF(Construction!$F$31=Construction!$R$22,Oeko!BZ320,Oeko!EM320)</f>
        <v>0</v>
      </c>
      <c r="N320" s="1998">
        <f>IF(Construction!$F$31=Construction!$R$22,Oeko!CA320,Oeko!EN320)</f>
        <v>0</v>
      </c>
      <c r="O320" s="1998">
        <f>IF(Construction!$F$31=Construction!$R$22,Oeko!CB320,Oeko!EO320)</f>
        <v>0</v>
      </c>
      <c r="P320" s="1998">
        <f>IF(Construction!$F$31=Construction!$R$22,Oeko!CC320,Oeko!EP320)</f>
        <v>0</v>
      </c>
      <c r="Q320" s="1998">
        <f>IF(Construction!$F$31=Construction!$R$22,Oeko!CD320,Oeko!EQ320)</f>
        <v>0</v>
      </c>
      <c r="R320" s="1998">
        <f>IF(Construction!$F$31=Construction!$R$22,Oeko!CE320,Oeko!ER320)</f>
        <v>0</v>
      </c>
      <c r="S320" s="1979">
        <f>IF(Construction!$F$31=Construction!$R$22,Oeko!CF320,Oeko!ES320)</f>
        <v>0</v>
      </c>
      <c r="T320" s="1979">
        <f>IF(Construction!$F$31=Construction!$R$22,Oeko!CG320,Oeko!ET320)</f>
        <v>0</v>
      </c>
      <c r="U320" s="1979">
        <f>IF(Construction!$F$31=Construction!$R$22,Oeko!CH320,Oeko!EU320)</f>
        <v>0</v>
      </c>
      <c r="V320" s="1979">
        <f>IF(Construction!$F$31=Construction!$R$22,Oeko!CI320,Oeko!EV320)</f>
        <v>0</v>
      </c>
      <c r="W320" s="1979">
        <f>IF(Construction!$F$31=Construction!$R$22,Oeko!CJ320,Oeko!EW320)</f>
        <v>0</v>
      </c>
      <c r="X320" s="1998">
        <f>IF(Construction!$F$31=Construction!$R$22,Oeko!CK320,Oeko!EX320)</f>
        <v>1</v>
      </c>
      <c r="Y320" s="1998">
        <f>IF(Construction!$F$31=Construction!$R$22,Oeko!CL320,Oeko!EY320)</f>
        <v>1</v>
      </c>
      <c r="Z320" s="1998">
        <f>IF(Construction!$F$31=Construction!$R$22,Oeko!CM320,Oeko!EZ320)</f>
        <v>1</v>
      </c>
      <c r="AA320" s="1998">
        <f>IF(Construction!$F$31=Construction!$R$22,Oeko!CN320,Oeko!FA320)</f>
        <v>1</v>
      </c>
      <c r="AB320" s="1998">
        <f>IF(Construction!$F$31=Construction!$R$22,Oeko!CO320,Oeko!FB320)</f>
        <v>1</v>
      </c>
      <c r="AC320" s="1979">
        <f>IF(Construction!$F$31=Construction!$R$22,Oeko!CP320,Oeko!FC320)</f>
        <v>0</v>
      </c>
      <c r="AD320" s="1979">
        <f>IF(Construction!$F$31=Construction!$R$22,Oeko!CQ320,Oeko!FD320)</f>
        <v>0</v>
      </c>
      <c r="AE320" s="1979">
        <f>IF(Construction!$F$31=Construction!$R$22,Oeko!CR320,Oeko!FE320)</f>
        <v>0</v>
      </c>
      <c r="AF320" s="1979">
        <f>IF(Construction!$F$31=Construction!$R$22,Oeko!CS320,Oeko!FF320)</f>
        <v>0</v>
      </c>
      <c r="AG320" s="1979">
        <f>IF(Construction!$F$31=Construction!$R$22,Oeko!CT320,Oeko!FG320)</f>
        <v>0</v>
      </c>
      <c r="AH320" s="1998">
        <f>IF(Construction!$F$31=Construction!$R$22,Oeko!CU320,Oeko!FH320)</f>
        <v>1</v>
      </c>
      <c r="AI320" s="1998">
        <f>IF(Construction!$F$31=Construction!$R$22,Oeko!CV320,Oeko!FI320)</f>
        <v>1</v>
      </c>
      <c r="AJ320" s="1998">
        <f>IF(Construction!$F$31=Construction!$R$22,Oeko!CW320,Oeko!FJ320)</f>
        <v>1</v>
      </c>
      <c r="AK320" s="1998">
        <f>IF(Construction!$F$31=Construction!$R$22,Oeko!CX320,Oeko!FK320)</f>
        <v>1</v>
      </c>
      <c r="AL320" s="1998">
        <f>IF(Construction!$F$31=Construction!$R$22,Oeko!CY320,Oeko!FL320)</f>
        <v>1</v>
      </c>
      <c r="AM320" s="1979">
        <f>IF(Construction!$F$31=Construction!$R$22,Oeko!CZ320,Oeko!FM320)</f>
        <v>1</v>
      </c>
      <c r="AN320" s="1979">
        <f>IF(Construction!$F$31=Construction!$R$22,Oeko!DA320,Oeko!FN320)</f>
        <v>1</v>
      </c>
      <c r="AO320" s="1979">
        <f>IF(Construction!$F$31=Construction!$R$22,Oeko!DB320,Oeko!FO320)</f>
        <v>1</v>
      </c>
      <c r="AP320" s="1979">
        <f>IF(Construction!$F$31=Construction!$R$22,Oeko!DC320,Oeko!FP320)</f>
        <v>1</v>
      </c>
      <c r="AQ320" s="1979">
        <f>IF(Construction!$F$31=Construction!$R$22,Oeko!DD320,Oeko!FQ320)</f>
        <v>1</v>
      </c>
      <c r="AR320" s="1998">
        <f>IF(Construction!$F$31=Construction!$R$22,Oeko!DE320,Oeko!FR320)</f>
        <v>8.0488597659215451</v>
      </c>
      <c r="AS320" s="1998">
        <f>IF(Construction!$F$31=Construction!$R$22,Oeko!DF320,Oeko!FS320)</f>
        <v>8.0488597659215451</v>
      </c>
      <c r="AT320" s="1998">
        <f>IF(Construction!$F$31=Construction!$R$22,Oeko!DG320,Oeko!FT320)</f>
        <v>8.0488597659215451</v>
      </c>
      <c r="AU320" s="1998">
        <f>IF(Construction!$F$31=Construction!$R$22,Oeko!DH320,Oeko!FU320)</f>
        <v>8.0488597659215451</v>
      </c>
      <c r="AV320" s="1998">
        <f>IF(Construction!$F$31=Construction!$R$22,Oeko!DI320,Oeko!FV320)</f>
        <v>8.0488597659215451</v>
      </c>
      <c r="AW320" s="1979">
        <f>IF(Construction!$F$31=Construction!$R$22,Oeko!DJ320,Oeko!FW320)</f>
        <v>8.0329061668367086</v>
      </c>
      <c r="AX320" s="1979">
        <f>IF(Construction!$F$31=Construction!$R$22,Oeko!DK320,Oeko!FX320)</f>
        <v>8.0329061668367086</v>
      </c>
      <c r="AY320" s="1979">
        <f>IF(Construction!$F$31=Construction!$R$22,Oeko!DL320,Oeko!FY320)</f>
        <v>8.0329061668367086</v>
      </c>
      <c r="AZ320" s="1979">
        <f>IF(Construction!$F$31=Construction!$R$22,Oeko!DM320,Oeko!FZ320)</f>
        <v>8.0329061668367086</v>
      </c>
      <c r="BA320" s="1979">
        <f>IF(Construction!$F$31=Construction!$R$22,Oeko!DN320,Oeko!GA320)</f>
        <v>8.0329061668367086</v>
      </c>
      <c r="BB320" s="1998">
        <f>IF(Construction!$F$31=Construction!$R$22,Oeko!DO320,Oeko!GB320)</f>
        <v>0.97975662301212196</v>
      </c>
      <c r="BC320" s="1998">
        <f>IF(Construction!$F$31=Construction!$R$22,Oeko!DP320,Oeko!GC320)</f>
        <v>0.97975662301212196</v>
      </c>
      <c r="BD320" s="1998">
        <f>IF(Construction!$F$31=Construction!$R$22,Oeko!DQ320,Oeko!GD320)</f>
        <v>0.97975662301212196</v>
      </c>
      <c r="BE320" s="1998">
        <f>IF(Construction!$F$31=Construction!$R$22,Oeko!DR320,Oeko!GE320)</f>
        <v>0.97975662301212196</v>
      </c>
      <c r="BF320" s="1998">
        <f>IF(Construction!$F$31=Construction!$R$22,Oeko!DS320,Oeko!GF320)</f>
        <v>0.97975662301212196</v>
      </c>
      <c r="BG320" s="1979">
        <f>IF(Construction!$F$31=Construction!$R$22,Oeko!DT320,Oeko!GG320)</f>
        <v>0.97614876347816082</v>
      </c>
      <c r="BH320" s="1979">
        <f>IF(Construction!$F$31=Construction!$R$22,Oeko!DU320,Oeko!GH320)</f>
        <v>0.97614876347816082</v>
      </c>
      <c r="BI320" s="1979">
        <f>IF(Construction!$F$31=Construction!$R$22,Oeko!DV320,Oeko!GI320)</f>
        <v>0.97614876347816082</v>
      </c>
      <c r="BJ320" s="1979">
        <f>IF(Construction!$F$31=Construction!$R$22,Oeko!DW320,Oeko!GJ320)</f>
        <v>0.97614876347816082</v>
      </c>
      <c r="BK320" s="2021">
        <f>IF(Construction!$F$31=Construction!$R$22,Oeko!DX320,Oeko!GK320)</f>
        <v>0.97614876347816082</v>
      </c>
      <c r="BN320" s="2022"/>
      <c r="BO320" s="2">
        <v>14</v>
      </c>
      <c r="BP320" s="2" t="str">
        <f>CONCATENATE($U$8," ",$V$11)</f>
        <v>Proportion de fenêtres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Proportion de fenêtres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Proportion de fenêtres 20</v>
      </c>
      <c r="D321" s="1998">
        <f>IF(Construction!$F$31=Construction!$R$22,Oeko!BQ321,Oeko!ED321)</f>
        <v>0</v>
      </c>
      <c r="E321" s="1998">
        <f>IF(Construction!$F$31=Construction!$R$22,Oeko!BR321,Oeko!EE321)</f>
        <v>0</v>
      </c>
      <c r="F321" s="1998">
        <f>IF(Construction!$F$31=Construction!$R$22,Oeko!BS321,Oeko!EF321)</f>
        <v>0</v>
      </c>
      <c r="G321" s="1998">
        <f>IF(Construction!$F$31=Construction!$R$22,Oeko!BT321,Oeko!EG321)</f>
        <v>0</v>
      </c>
      <c r="H321" s="1998">
        <f>IF(Construction!$F$31=Construction!$R$22,Oeko!BU321,Oeko!EH321)</f>
        <v>0</v>
      </c>
      <c r="I321" s="1979">
        <f>IF(Construction!$F$31=Construction!$R$22,Oeko!BV321,Oeko!EI321)</f>
        <v>0</v>
      </c>
      <c r="J321" s="1979">
        <f>IF(Construction!$F$31=Construction!$R$22,Oeko!BW321,Oeko!EJ321)</f>
        <v>0</v>
      </c>
      <c r="K321" s="1979">
        <f>IF(Construction!$F$31=Construction!$R$22,Oeko!BX321,Oeko!EK321)</f>
        <v>0</v>
      </c>
      <c r="L321" s="1979">
        <f>IF(Construction!$F$31=Construction!$R$22,Oeko!BY321,Oeko!EL321)</f>
        <v>0</v>
      </c>
      <c r="M321" s="1979">
        <f>IF(Construction!$F$31=Construction!$R$22,Oeko!BZ321,Oeko!EM321)</f>
        <v>0</v>
      </c>
      <c r="N321" s="1998">
        <f>IF(Construction!$F$31=Construction!$R$22,Oeko!CA321,Oeko!EN321)</f>
        <v>0</v>
      </c>
      <c r="O321" s="1998">
        <f>IF(Construction!$F$31=Construction!$R$22,Oeko!CB321,Oeko!EO321)</f>
        <v>0</v>
      </c>
      <c r="P321" s="1998">
        <f>IF(Construction!$F$31=Construction!$R$22,Oeko!CC321,Oeko!EP321)</f>
        <v>0</v>
      </c>
      <c r="Q321" s="1998">
        <f>IF(Construction!$F$31=Construction!$R$22,Oeko!CD321,Oeko!EQ321)</f>
        <v>0</v>
      </c>
      <c r="R321" s="1998">
        <f>IF(Construction!$F$31=Construction!$R$22,Oeko!CE321,Oeko!ER321)</f>
        <v>0</v>
      </c>
      <c r="S321" s="1979">
        <f>IF(Construction!$F$31=Construction!$R$22,Oeko!CF321,Oeko!ES321)</f>
        <v>0</v>
      </c>
      <c r="T321" s="1979">
        <f>IF(Construction!$F$31=Construction!$R$22,Oeko!CG321,Oeko!ET321)</f>
        <v>0</v>
      </c>
      <c r="U321" s="1979">
        <f>IF(Construction!$F$31=Construction!$R$22,Oeko!CH321,Oeko!EU321)</f>
        <v>0</v>
      </c>
      <c r="V321" s="1979">
        <f>IF(Construction!$F$31=Construction!$R$22,Oeko!CI321,Oeko!EV321)</f>
        <v>0</v>
      </c>
      <c r="W321" s="1979">
        <f>IF(Construction!$F$31=Construction!$R$22,Oeko!CJ321,Oeko!EW321)</f>
        <v>0</v>
      </c>
      <c r="X321" s="1998">
        <f>IF(Construction!$F$31=Construction!$R$22,Oeko!CK321,Oeko!EX321)</f>
        <v>1</v>
      </c>
      <c r="Y321" s="1998">
        <f>IF(Construction!$F$31=Construction!$R$22,Oeko!CL321,Oeko!EY321)</f>
        <v>1</v>
      </c>
      <c r="Z321" s="1998">
        <f>IF(Construction!$F$31=Construction!$R$22,Oeko!CM321,Oeko!EZ321)</f>
        <v>1</v>
      </c>
      <c r="AA321" s="1998">
        <f>IF(Construction!$F$31=Construction!$R$22,Oeko!CN321,Oeko!FA321)</f>
        <v>1</v>
      </c>
      <c r="AB321" s="1998">
        <f>IF(Construction!$F$31=Construction!$R$22,Oeko!CO321,Oeko!FB321)</f>
        <v>1</v>
      </c>
      <c r="AC321" s="1979">
        <f>IF(Construction!$F$31=Construction!$R$22,Oeko!CP321,Oeko!FC321)</f>
        <v>0</v>
      </c>
      <c r="AD321" s="1979">
        <f>IF(Construction!$F$31=Construction!$R$22,Oeko!CQ321,Oeko!FD321)</f>
        <v>0</v>
      </c>
      <c r="AE321" s="1979">
        <f>IF(Construction!$F$31=Construction!$R$22,Oeko!CR321,Oeko!FE321)</f>
        <v>0</v>
      </c>
      <c r="AF321" s="1979">
        <f>IF(Construction!$F$31=Construction!$R$22,Oeko!CS321,Oeko!FF321)</f>
        <v>0</v>
      </c>
      <c r="AG321" s="1979">
        <f>IF(Construction!$F$31=Construction!$R$22,Oeko!CT321,Oeko!FG321)</f>
        <v>0</v>
      </c>
      <c r="AH321" s="1998">
        <f>IF(Construction!$F$31=Construction!$R$22,Oeko!CU321,Oeko!FH321)</f>
        <v>1</v>
      </c>
      <c r="AI321" s="1998">
        <f>IF(Construction!$F$31=Construction!$R$22,Oeko!CV321,Oeko!FI321)</f>
        <v>1</v>
      </c>
      <c r="AJ321" s="1998">
        <f>IF(Construction!$F$31=Construction!$R$22,Oeko!CW321,Oeko!FJ321)</f>
        <v>1</v>
      </c>
      <c r="AK321" s="1998">
        <f>IF(Construction!$F$31=Construction!$R$22,Oeko!CX321,Oeko!FK321)</f>
        <v>1</v>
      </c>
      <c r="AL321" s="1998">
        <f>IF(Construction!$F$31=Construction!$R$22,Oeko!CY321,Oeko!FL321)</f>
        <v>1</v>
      </c>
      <c r="AM321" s="1979">
        <f>IF(Construction!$F$31=Construction!$R$22,Oeko!CZ321,Oeko!FM321)</f>
        <v>1</v>
      </c>
      <c r="AN321" s="1979">
        <f>IF(Construction!$F$31=Construction!$R$22,Oeko!DA321,Oeko!FN321)</f>
        <v>1</v>
      </c>
      <c r="AO321" s="1979">
        <f>IF(Construction!$F$31=Construction!$R$22,Oeko!DB321,Oeko!FO321)</f>
        <v>1</v>
      </c>
      <c r="AP321" s="1979">
        <f>IF(Construction!$F$31=Construction!$R$22,Oeko!DC321,Oeko!FP321)</f>
        <v>1</v>
      </c>
      <c r="AQ321" s="1979">
        <f>IF(Construction!$F$31=Construction!$R$22,Oeko!DD321,Oeko!FQ321)</f>
        <v>1</v>
      </c>
      <c r="AR321" s="1998">
        <f>IF(Construction!$F$31=Construction!$R$22,Oeko!DE321,Oeko!FR321)</f>
        <v>8.0488597659215451</v>
      </c>
      <c r="AS321" s="1998">
        <f>IF(Construction!$F$31=Construction!$R$22,Oeko!DF321,Oeko!FS321)</f>
        <v>8.0488597659215451</v>
      </c>
      <c r="AT321" s="1998">
        <f>IF(Construction!$F$31=Construction!$R$22,Oeko!DG321,Oeko!FT321)</f>
        <v>8.0488597659215451</v>
      </c>
      <c r="AU321" s="1998">
        <f>IF(Construction!$F$31=Construction!$R$22,Oeko!DH321,Oeko!FU321)</f>
        <v>8.0488597659215451</v>
      </c>
      <c r="AV321" s="1998">
        <f>IF(Construction!$F$31=Construction!$R$22,Oeko!DI321,Oeko!FV321)</f>
        <v>8.0488597659215451</v>
      </c>
      <c r="AW321" s="1979">
        <f>IF(Construction!$F$31=Construction!$R$22,Oeko!DJ321,Oeko!FW321)</f>
        <v>8.0329061668367086</v>
      </c>
      <c r="AX321" s="1979">
        <f>IF(Construction!$F$31=Construction!$R$22,Oeko!DK321,Oeko!FX321)</f>
        <v>8.0329061668367086</v>
      </c>
      <c r="AY321" s="1979">
        <f>IF(Construction!$F$31=Construction!$R$22,Oeko!DL321,Oeko!FY321)</f>
        <v>8.0329061668367086</v>
      </c>
      <c r="AZ321" s="1979">
        <f>IF(Construction!$F$31=Construction!$R$22,Oeko!DM321,Oeko!FZ321)</f>
        <v>8.0329061668367086</v>
      </c>
      <c r="BA321" s="1979">
        <f>IF(Construction!$F$31=Construction!$R$22,Oeko!DN321,Oeko!GA321)</f>
        <v>8.0329061668367086</v>
      </c>
      <c r="BB321" s="1998">
        <f>IF(Construction!$F$31=Construction!$R$22,Oeko!DO321,Oeko!GB321)</f>
        <v>0.97975662301212196</v>
      </c>
      <c r="BC321" s="1998">
        <f>IF(Construction!$F$31=Construction!$R$22,Oeko!DP321,Oeko!GC321)</f>
        <v>0.97975662301212196</v>
      </c>
      <c r="BD321" s="1998">
        <f>IF(Construction!$F$31=Construction!$R$22,Oeko!DQ321,Oeko!GD321)</f>
        <v>0.97975662301212196</v>
      </c>
      <c r="BE321" s="1998">
        <f>IF(Construction!$F$31=Construction!$R$22,Oeko!DR321,Oeko!GE321)</f>
        <v>0.97975662301212196</v>
      </c>
      <c r="BF321" s="1998">
        <f>IF(Construction!$F$31=Construction!$R$22,Oeko!DS321,Oeko!GF321)</f>
        <v>0.97975662301212196</v>
      </c>
      <c r="BG321" s="1979">
        <f>IF(Construction!$F$31=Construction!$R$22,Oeko!DT321,Oeko!GG321)</f>
        <v>0.97614876347816082</v>
      </c>
      <c r="BH321" s="1979">
        <f>IF(Construction!$F$31=Construction!$R$22,Oeko!DU321,Oeko!GH321)</f>
        <v>0.97614876347816082</v>
      </c>
      <c r="BI321" s="1979">
        <f>IF(Construction!$F$31=Construction!$R$22,Oeko!DV321,Oeko!GI321)</f>
        <v>0.97614876347816082</v>
      </c>
      <c r="BJ321" s="1979">
        <f>IF(Construction!$F$31=Construction!$R$22,Oeko!DW321,Oeko!GJ321)</f>
        <v>0.97614876347816082</v>
      </c>
      <c r="BK321" s="2021">
        <f>IF(Construction!$F$31=Construction!$R$22,Oeko!DX321,Oeko!GK321)</f>
        <v>0.97614876347816082</v>
      </c>
      <c r="BN321" s="2022"/>
      <c r="BO321" s="2">
        <v>15</v>
      </c>
      <c r="BP321" s="2" t="str">
        <f>CONCATENATE($U$8," ",$V$12)</f>
        <v>Proportion de fenêtres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Proportion de fenêtres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Proportion de fenêtres 30</v>
      </c>
      <c r="D322" s="1998">
        <f>IF(Construction!$F$31=Construction!$R$22,Oeko!BQ322,Oeko!ED322)</f>
        <v>1.09375</v>
      </c>
      <c r="E322" s="1998">
        <f>IF(Construction!$F$31=Construction!$R$22,Oeko!BR322,Oeko!EE322)</f>
        <v>1</v>
      </c>
      <c r="F322" s="1998">
        <f>IF(Construction!$F$31=Construction!$R$22,Oeko!BS322,Oeko!EF322)</f>
        <v>1</v>
      </c>
      <c r="G322" s="1998">
        <f>IF(Construction!$F$31=Construction!$R$22,Oeko!BT322,Oeko!EG322)</f>
        <v>1</v>
      </c>
      <c r="H322" s="1998">
        <f>IF(Construction!$F$31=Construction!$R$22,Oeko!BU322,Oeko!EH322)</f>
        <v>1</v>
      </c>
      <c r="I322" s="1979">
        <f>IF(Construction!$F$31=Construction!$R$22,Oeko!BV322,Oeko!EI322)</f>
        <v>1</v>
      </c>
      <c r="J322" s="1979">
        <f>IF(Construction!$F$31=Construction!$R$22,Oeko!BW322,Oeko!EJ322)</f>
        <v>1</v>
      </c>
      <c r="K322" s="1979">
        <f>IF(Construction!$F$31=Construction!$R$22,Oeko!BX322,Oeko!EK322)</f>
        <v>1</v>
      </c>
      <c r="L322" s="1979">
        <f>IF(Construction!$F$31=Construction!$R$22,Oeko!BY322,Oeko!EL322)</f>
        <v>1</v>
      </c>
      <c r="M322" s="1979">
        <f>IF(Construction!$F$31=Construction!$R$22,Oeko!BZ322,Oeko!EM322)</f>
        <v>1</v>
      </c>
      <c r="N322" s="1998">
        <f>IF(Construction!$F$31=Construction!$R$22,Oeko!CA322,Oeko!EN322)</f>
        <v>1</v>
      </c>
      <c r="O322" s="1998">
        <f>IF(Construction!$F$31=Construction!$R$22,Oeko!CB322,Oeko!EO322)</f>
        <v>1</v>
      </c>
      <c r="P322" s="1998">
        <f>IF(Construction!$F$31=Construction!$R$22,Oeko!CC322,Oeko!EP322)</f>
        <v>1</v>
      </c>
      <c r="Q322" s="1998">
        <f>IF(Construction!$F$31=Construction!$R$22,Oeko!CD322,Oeko!EQ322)</f>
        <v>1</v>
      </c>
      <c r="R322" s="1998">
        <f>IF(Construction!$F$31=Construction!$R$22,Oeko!CE322,Oeko!ER322)</f>
        <v>1</v>
      </c>
      <c r="S322" s="1979">
        <f>IF(Construction!$F$31=Construction!$R$22,Oeko!CF322,Oeko!ES322)</f>
        <v>1</v>
      </c>
      <c r="T322" s="1979">
        <f>IF(Construction!$F$31=Construction!$R$22,Oeko!CG322,Oeko!ET322)</f>
        <v>1</v>
      </c>
      <c r="U322" s="1979">
        <f>IF(Construction!$F$31=Construction!$R$22,Oeko!CH322,Oeko!EU322)</f>
        <v>1</v>
      </c>
      <c r="V322" s="1979">
        <f>IF(Construction!$F$31=Construction!$R$22,Oeko!CI322,Oeko!EV322)</f>
        <v>1</v>
      </c>
      <c r="W322" s="1979">
        <f>IF(Construction!$F$31=Construction!$R$22,Oeko!CJ322,Oeko!EW322)</f>
        <v>1</v>
      </c>
      <c r="X322" s="1998">
        <f>IF(Construction!$F$31=Construction!$R$22,Oeko!CK322,Oeko!EX322)</f>
        <v>1</v>
      </c>
      <c r="Y322" s="1998">
        <f>IF(Construction!$F$31=Construction!$R$22,Oeko!CL322,Oeko!EY322)</f>
        <v>1</v>
      </c>
      <c r="Z322" s="1998">
        <f>IF(Construction!$F$31=Construction!$R$22,Oeko!CM322,Oeko!EZ322)</f>
        <v>1</v>
      </c>
      <c r="AA322" s="1998">
        <f>IF(Construction!$F$31=Construction!$R$22,Oeko!CN322,Oeko!FA322)</f>
        <v>1</v>
      </c>
      <c r="AB322" s="1998">
        <f>IF(Construction!$F$31=Construction!$R$22,Oeko!CO322,Oeko!FB322)</f>
        <v>1</v>
      </c>
      <c r="AC322" s="1979">
        <f>IF(Construction!$F$31=Construction!$R$22,Oeko!CP322,Oeko!FC322)</f>
        <v>1</v>
      </c>
      <c r="AD322" s="1979">
        <f>IF(Construction!$F$31=Construction!$R$22,Oeko!CQ322,Oeko!FD322)</f>
        <v>1</v>
      </c>
      <c r="AE322" s="1979">
        <f>IF(Construction!$F$31=Construction!$R$22,Oeko!CR322,Oeko!FE322)</f>
        <v>1</v>
      </c>
      <c r="AF322" s="1979">
        <f>IF(Construction!$F$31=Construction!$R$22,Oeko!CS322,Oeko!FF322)</f>
        <v>1</v>
      </c>
      <c r="AG322" s="1979">
        <f>IF(Construction!$F$31=Construction!$R$22,Oeko!CT322,Oeko!FG322)</f>
        <v>1</v>
      </c>
      <c r="AH322" s="1998">
        <f>IF(Construction!$F$31=Construction!$R$22,Oeko!CU322,Oeko!FH322)</f>
        <v>1</v>
      </c>
      <c r="AI322" s="1998">
        <f>IF(Construction!$F$31=Construction!$R$22,Oeko!CV322,Oeko!FI322)</f>
        <v>1</v>
      </c>
      <c r="AJ322" s="1998">
        <f>IF(Construction!$F$31=Construction!$R$22,Oeko!CW322,Oeko!FJ322)</f>
        <v>1</v>
      </c>
      <c r="AK322" s="1998">
        <f>IF(Construction!$F$31=Construction!$R$22,Oeko!CX322,Oeko!FK322)</f>
        <v>1</v>
      </c>
      <c r="AL322" s="1998">
        <f>IF(Construction!$F$31=Construction!$R$22,Oeko!CY322,Oeko!FL322)</f>
        <v>1</v>
      </c>
      <c r="AM322" s="1979">
        <f>IF(Construction!$F$31=Construction!$R$22,Oeko!CZ322,Oeko!FM322)</f>
        <v>1</v>
      </c>
      <c r="AN322" s="1979">
        <f>IF(Construction!$F$31=Construction!$R$22,Oeko!DA322,Oeko!FN322)</f>
        <v>1</v>
      </c>
      <c r="AO322" s="1979">
        <f>IF(Construction!$F$31=Construction!$R$22,Oeko!DB322,Oeko!FO322)</f>
        <v>1</v>
      </c>
      <c r="AP322" s="1979">
        <f>IF(Construction!$F$31=Construction!$R$22,Oeko!DC322,Oeko!FP322)</f>
        <v>1</v>
      </c>
      <c r="AQ322" s="1979">
        <f>IF(Construction!$F$31=Construction!$R$22,Oeko!DD322,Oeko!FQ322)</f>
        <v>1</v>
      </c>
      <c r="AR322" s="1998">
        <f>IF(Construction!$F$31=Construction!$R$22,Oeko!DE322,Oeko!FR322)</f>
        <v>8.0488597659215451</v>
      </c>
      <c r="AS322" s="1998">
        <f>IF(Construction!$F$31=Construction!$R$22,Oeko!DF322,Oeko!FS322)</f>
        <v>8.0488597659215451</v>
      </c>
      <c r="AT322" s="1998">
        <f>IF(Construction!$F$31=Construction!$R$22,Oeko!DG322,Oeko!FT322)</f>
        <v>8.0488597659215451</v>
      </c>
      <c r="AU322" s="1998">
        <f>IF(Construction!$F$31=Construction!$R$22,Oeko!DH322,Oeko!FU322)</f>
        <v>8.0488597659215451</v>
      </c>
      <c r="AV322" s="1998">
        <f>IF(Construction!$F$31=Construction!$R$22,Oeko!DI322,Oeko!FV322)</f>
        <v>8.0488597659215451</v>
      </c>
      <c r="AW322" s="1979">
        <f>IF(Construction!$F$31=Construction!$R$22,Oeko!DJ322,Oeko!FW322)</f>
        <v>8.0329061668367086</v>
      </c>
      <c r="AX322" s="1979">
        <f>IF(Construction!$F$31=Construction!$R$22,Oeko!DK322,Oeko!FX322)</f>
        <v>8.0329061668367086</v>
      </c>
      <c r="AY322" s="1979">
        <f>IF(Construction!$F$31=Construction!$R$22,Oeko!DL322,Oeko!FY322)</f>
        <v>8.0329061668367086</v>
      </c>
      <c r="AZ322" s="1979">
        <f>IF(Construction!$F$31=Construction!$R$22,Oeko!DM322,Oeko!FZ322)</f>
        <v>8.0329061668367086</v>
      </c>
      <c r="BA322" s="1979">
        <f>IF(Construction!$F$31=Construction!$R$22,Oeko!DN322,Oeko!GA322)</f>
        <v>8.0329061668367086</v>
      </c>
      <c r="BB322" s="1998">
        <f>IF(Construction!$F$31=Construction!$R$22,Oeko!DO322,Oeko!GB322)</f>
        <v>0.97975662301212196</v>
      </c>
      <c r="BC322" s="1998">
        <f>IF(Construction!$F$31=Construction!$R$22,Oeko!DP322,Oeko!GC322)</f>
        <v>0.97975662301212196</v>
      </c>
      <c r="BD322" s="1998">
        <f>IF(Construction!$F$31=Construction!$R$22,Oeko!DQ322,Oeko!GD322)</f>
        <v>0.97975662301212196</v>
      </c>
      <c r="BE322" s="1998">
        <f>IF(Construction!$F$31=Construction!$R$22,Oeko!DR322,Oeko!GE322)</f>
        <v>0.97975662301212196</v>
      </c>
      <c r="BF322" s="1998">
        <f>IF(Construction!$F$31=Construction!$R$22,Oeko!DS322,Oeko!GF322)</f>
        <v>0.97975662301212196</v>
      </c>
      <c r="BG322" s="1979">
        <f>IF(Construction!$F$31=Construction!$R$22,Oeko!DT322,Oeko!GG322)</f>
        <v>0.97614876347816082</v>
      </c>
      <c r="BH322" s="1979">
        <f>IF(Construction!$F$31=Construction!$R$22,Oeko!DU322,Oeko!GH322)</f>
        <v>0.97614876347816082</v>
      </c>
      <c r="BI322" s="1979">
        <f>IF(Construction!$F$31=Construction!$R$22,Oeko!DV322,Oeko!GI322)</f>
        <v>0.97614876347816082</v>
      </c>
      <c r="BJ322" s="1979">
        <f>IF(Construction!$F$31=Construction!$R$22,Oeko!DW322,Oeko!GJ322)</f>
        <v>0.97614876347816082</v>
      </c>
      <c r="BK322" s="2021">
        <f>IF(Construction!$F$31=Construction!$R$22,Oeko!DX322,Oeko!GK322)</f>
        <v>0.97614876347816082</v>
      </c>
      <c r="BN322" s="2022"/>
      <c r="BO322" s="2">
        <v>16</v>
      </c>
      <c r="BP322" s="2" t="str">
        <f>CONCATENATE($U$8," ",$V$13)</f>
        <v>Proportion de fenêtres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Proportion de fenêtres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Proportion de fenêtres 40</v>
      </c>
      <c r="D323" s="1998">
        <f>IF(Construction!$F$31=Construction!$R$22,Oeko!BQ323,Oeko!ED323)</f>
        <v>1.09375</v>
      </c>
      <c r="E323" s="1998">
        <f>IF(Construction!$F$31=Construction!$R$22,Oeko!BR323,Oeko!EE323)</f>
        <v>1</v>
      </c>
      <c r="F323" s="1998">
        <f>IF(Construction!$F$31=Construction!$R$22,Oeko!BS323,Oeko!EF323)</f>
        <v>1</v>
      </c>
      <c r="G323" s="1998">
        <f>IF(Construction!$F$31=Construction!$R$22,Oeko!BT323,Oeko!EG323)</f>
        <v>1</v>
      </c>
      <c r="H323" s="1998">
        <f>IF(Construction!$F$31=Construction!$R$22,Oeko!BU323,Oeko!EH323)</f>
        <v>1</v>
      </c>
      <c r="I323" s="1979">
        <f>IF(Construction!$F$31=Construction!$R$22,Oeko!BV323,Oeko!EI323)</f>
        <v>1</v>
      </c>
      <c r="J323" s="1979">
        <f>IF(Construction!$F$31=Construction!$R$22,Oeko!BW323,Oeko!EJ323)</f>
        <v>1</v>
      </c>
      <c r="K323" s="1979">
        <f>IF(Construction!$F$31=Construction!$R$22,Oeko!BX323,Oeko!EK323)</f>
        <v>1</v>
      </c>
      <c r="L323" s="1979">
        <f>IF(Construction!$F$31=Construction!$R$22,Oeko!BY323,Oeko!EL323)</f>
        <v>1</v>
      </c>
      <c r="M323" s="1979">
        <f>IF(Construction!$F$31=Construction!$R$22,Oeko!BZ323,Oeko!EM323)</f>
        <v>1</v>
      </c>
      <c r="N323" s="1998">
        <f>IF(Construction!$F$31=Construction!$R$22,Oeko!CA323,Oeko!EN323)</f>
        <v>1</v>
      </c>
      <c r="O323" s="1998">
        <f>IF(Construction!$F$31=Construction!$R$22,Oeko!CB323,Oeko!EO323)</f>
        <v>1</v>
      </c>
      <c r="P323" s="1998">
        <f>IF(Construction!$F$31=Construction!$R$22,Oeko!CC323,Oeko!EP323)</f>
        <v>1</v>
      </c>
      <c r="Q323" s="1998">
        <f>IF(Construction!$F$31=Construction!$R$22,Oeko!CD323,Oeko!EQ323)</f>
        <v>1</v>
      </c>
      <c r="R323" s="1998">
        <f>IF(Construction!$F$31=Construction!$R$22,Oeko!CE323,Oeko!ER323)</f>
        <v>1</v>
      </c>
      <c r="S323" s="1979">
        <f>IF(Construction!$F$31=Construction!$R$22,Oeko!CF323,Oeko!ES323)</f>
        <v>1</v>
      </c>
      <c r="T323" s="1979">
        <f>IF(Construction!$F$31=Construction!$R$22,Oeko!CG323,Oeko!ET323)</f>
        <v>1</v>
      </c>
      <c r="U323" s="1979">
        <f>IF(Construction!$F$31=Construction!$R$22,Oeko!CH323,Oeko!EU323)</f>
        <v>1</v>
      </c>
      <c r="V323" s="1979">
        <f>IF(Construction!$F$31=Construction!$R$22,Oeko!CI323,Oeko!EV323)</f>
        <v>1</v>
      </c>
      <c r="W323" s="1979">
        <f>IF(Construction!$F$31=Construction!$R$22,Oeko!CJ323,Oeko!EW323)</f>
        <v>1</v>
      </c>
      <c r="X323" s="1998">
        <f>IF(Construction!$F$31=Construction!$R$22,Oeko!CK323,Oeko!EX323)</f>
        <v>1</v>
      </c>
      <c r="Y323" s="1998">
        <f>IF(Construction!$F$31=Construction!$R$22,Oeko!CL323,Oeko!EY323)</f>
        <v>1</v>
      </c>
      <c r="Z323" s="1998">
        <f>IF(Construction!$F$31=Construction!$R$22,Oeko!CM323,Oeko!EZ323)</f>
        <v>1</v>
      </c>
      <c r="AA323" s="1998">
        <f>IF(Construction!$F$31=Construction!$R$22,Oeko!CN323,Oeko!FA323)</f>
        <v>1</v>
      </c>
      <c r="AB323" s="1998">
        <f>IF(Construction!$F$31=Construction!$R$22,Oeko!CO323,Oeko!FB323)</f>
        <v>1</v>
      </c>
      <c r="AC323" s="1979">
        <f>IF(Construction!$F$31=Construction!$R$22,Oeko!CP323,Oeko!FC323)</f>
        <v>1</v>
      </c>
      <c r="AD323" s="1979">
        <f>IF(Construction!$F$31=Construction!$R$22,Oeko!CQ323,Oeko!FD323)</f>
        <v>1</v>
      </c>
      <c r="AE323" s="1979">
        <f>IF(Construction!$F$31=Construction!$R$22,Oeko!CR323,Oeko!FE323)</f>
        <v>1</v>
      </c>
      <c r="AF323" s="1979">
        <f>IF(Construction!$F$31=Construction!$R$22,Oeko!CS323,Oeko!FF323)</f>
        <v>1</v>
      </c>
      <c r="AG323" s="1979">
        <f>IF(Construction!$F$31=Construction!$R$22,Oeko!CT323,Oeko!FG323)</f>
        <v>1</v>
      </c>
      <c r="AH323" s="1998">
        <f>IF(Construction!$F$31=Construction!$R$22,Oeko!CU323,Oeko!FH323)</f>
        <v>1</v>
      </c>
      <c r="AI323" s="1998">
        <f>IF(Construction!$F$31=Construction!$R$22,Oeko!CV323,Oeko!FI323)</f>
        <v>1</v>
      </c>
      <c r="AJ323" s="1998">
        <f>IF(Construction!$F$31=Construction!$R$22,Oeko!CW323,Oeko!FJ323)</f>
        <v>1</v>
      </c>
      <c r="AK323" s="1998">
        <f>IF(Construction!$F$31=Construction!$R$22,Oeko!CX323,Oeko!FK323)</f>
        <v>1</v>
      </c>
      <c r="AL323" s="1998">
        <f>IF(Construction!$F$31=Construction!$R$22,Oeko!CY323,Oeko!FL323)</f>
        <v>1</v>
      </c>
      <c r="AM323" s="1979">
        <f>IF(Construction!$F$31=Construction!$R$22,Oeko!CZ323,Oeko!FM323)</f>
        <v>1</v>
      </c>
      <c r="AN323" s="1979">
        <f>IF(Construction!$F$31=Construction!$R$22,Oeko!DA323,Oeko!FN323)</f>
        <v>1</v>
      </c>
      <c r="AO323" s="1979">
        <f>IF(Construction!$F$31=Construction!$R$22,Oeko!DB323,Oeko!FO323)</f>
        <v>1</v>
      </c>
      <c r="AP323" s="1979">
        <f>IF(Construction!$F$31=Construction!$R$22,Oeko!DC323,Oeko!FP323)</f>
        <v>1</v>
      </c>
      <c r="AQ323" s="1979">
        <f>IF(Construction!$F$31=Construction!$R$22,Oeko!DD323,Oeko!FQ323)</f>
        <v>1</v>
      </c>
      <c r="AR323" s="1998">
        <f>IF(Construction!$F$31=Construction!$R$22,Oeko!DE323,Oeko!FR323)</f>
        <v>8.0488597659215451</v>
      </c>
      <c r="AS323" s="1998">
        <f>IF(Construction!$F$31=Construction!$R$22,Oeko!DF323,Oeko!FS323)</f>
        <v>8.0488597659215451</v>
      </c>
      <c r="AT323" s="1998">
        <f>IF(Construction!$F$31=Construction!$R$22,Oeko!DG323,Oeko!FT323)</f>
        <v>8.0488597659215451</v>
      </c>
      <c r="AU323" s="1998">
        <f>IF(Construction!$F$31=Construction!$R$22,Oeko!DH323,Oeko!FU323)</f>
        <v>8.0488597659215451</v>
      </c>
      <c r="AV323" s="1998">
        <f>IF(Construction!$F$31=Construction!$R$22,Oeko!DI323,Oeko!FV323)</f>
        <v>8.0488597659215451</v>
      </c>
      <c r="AW323" s="1979">
        <f>IF(Construction!$F$31=Construction!$R$22,Oeko!DJ323,Oeko!FW323)</f>
        <v>8.0329061668367086</v>
      </c>
      <c r="AX323" s="1979">
        <f>IF(Construction!$F$31=Construction!$R$22,Oeko!DK323,Oeko!FX323)</f>
        <v>8.0329061668367086</v>
      </c>
      <c r="AY323" s="1979">
        <f>IF(Construction!$F$31=Construction!$R$22,Oeko!DL323,Oeko!FY323)</f>
        <v>8.0329061668367086</v>
      </c>
      <c r="AZ323" s="1979">
        <f>IF(Construction!$F$31=Construction!$R$22,Oeko!DM323,Oeko!FZ323)</f>
        <v>8.0329061668367086</v>
      </c>
      <c r="BA323" s="1979">
        <f>IF(Construction!$F$31=Construction!$R$22,Oeko!DN323,Oeko!GA323)</f>
        <v>8.0329061668367086</v>
      </c>
      <c r="BB323" s="1998">
        <f>IF(Construction!$F$31=Construction!$R$22,Oeko!DO323,Oeko!GB323)</f>
        <v>0.97975662301212196</v>
      </c>
      <c r="BC323" s="1998">
        <f>IF(Construction!$F$31=Construction!$R$22,Oeko!DP323,Oeko!GC323)</f>
        <v>0.97975662301212196</v>
      </c>
      <c r="BD323" s="1998">
        <f>IF(Construction!$F$31=Construction!$R$22,Oeko!DQ323,Oeko!GD323)</f>
        <v>0.97975662301212196</v>
      </c>
      <c r="BE323" s="1998">
        <f>IF(Construction!$F$31=Construction!$R$22,Oeko!DR323,Oeko!GE323)</f>
        <v>0.97975662301212196</v>
      </c>
      <c r="BF323" s="1998">
        <f>IF(Construction!$F$31=Construction!$R$22,Oeko!DS323,Oeko!GF323)</f>
        <v>0.97975662301212196</v>
      </c>
      <c r="BG323" s="1979">
        <f>IF(Construction!$F$31=Construction!$R$22,Oeko!DT323,Oeko!GG323)</f>
        <v>0.97614876347816082</v>
      </c>
      <c r="BH323" s="1979">
        <f>IF(Construction!$F$31=Construction!$R$22,Oeko!DU323,Oeko!GH323)</f>
        <v>0.97614876347816082</v>
      </c>
      <c r="BI323" s="1979">
        <f>IF(Construction!$F$31=Construction!$R$22,Oeko!DV323,Oeko!GI323)</f>
        <v>0.97614876347816082</v>
      </c>
      <c r="BJ323" s="1979">
        <f>IF(Construction!$F$31=Construction!$R$22,Oeko!DW323,Oeko!GJ323)</f>
        <v>0.97614876347816082</v>
      </c>
      <c r="BK323" s="2021">
        <f>IF(Construction!$F$31=Construction!$R$22,Oeko!DX323,Oeko!GK323)</f>
        <v>0.97614876347816082</v>
      </c>
      <c r="BN323" s="2022"/>
      <c r="BO323" s="2">
        <v>17</v>
      </c>
      <c r="BP323" s="2" t="str">
        <f>CONCATENATE($U$8," ",$V$14)</f>
        <v>Proportion de fenêtres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Proportion de fenêtres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Proportion de fenêtres 50</v>
      </c>
      <c r="D324" s="1998">
        <f>IF(Construction!$F$31=Construction!$R$22,Oeko!BQ324,Oeko!ED324)</f>
        <v>1.09375</v>
      </c>
      <c r="E324" s="1998">
        <f>IF(Construction!$F$31=Construction!$R$22,Oeko!BR324,Oeko!EE324)</f>
        <v>1</v>
      </c>
      <c r="F324" s="1998">
        <f>IF(Construction!$F$31=Construction!$R$22,Oeko!BS324,Oeko!EF324)</f>
        <v>1</v>
      </c>
      <c r="G324" s="1998">
        <f>IF(Construction!$F$31=Construction!$R$22,Oeko!BT324,Oeko!EG324)</f>
        <v>1</v>
      </c>
      <c r="H324" s="1998">
        <f>IF(Construction!$F$31=Construction!$R$22,Oeko!BU324,Oeko!EH324)</f>
        <v>1</v>
      </c>
      <c r="I324" s="1979">
        <f>IF(Construction!$F$31=Construction!$R$22,Oeko!BV324,Oeko!EI324)</f>
        <v>1</v>
      </c>
      <c r="J324" s="1979">
        <f>IF(Construction!$F$31=Construction!$R$22,Oeko!BW324,Oeko!EJ324)</f>
        <v>1</v>
      </c>
      <c r="K324" s="1979">
        <f>IF(Construction!$F$31=Construction!$R$22,Oeko!BX324,Oeko!EK324)</f>
        <v>1</v>
      </c>
      <c r="L324" s="1979">
        <f>IF(Construction!$F$31=Construction!$R$22,Oeko!BY324,Oeko!EL324)</f>
        <v>1</v>
      </c>
      <c r="M324" s="1979">
        <f>IF(Construction!$F$31=Construction!$R$22,Oeko!BZ324,Oeko!EM324)</f>
        <v>1</v>
      </c>
      <c r="N324" s="1998">
        <f>IF(Construction!$F$31=Construction!$R$22,Oeko!CA324,Oeko!EN324)</f>
        <v>1</v>
      </c>
      <c r="O324" s="1998">
        <f>IF(Construction!$F$31=Construction!$R$22,Oeko!CB324,Oeko!EO324)</f>
        <v>1</v>
      </c>
      <c r="P324" s="1998">
        <f>IF(Construction!$F$31=Construction!$R$22,Oeko!CC324,Oeko!EP324)</f>
        <v>1</v>
      </c>
      <c r="Q324" s="1998">
        <f>IF(Construction!$F$31=Construction!$R$22,Oeko!CD324,Oeko!EQ324)</f>
        <v>1</v>
      </c>
      <c r="R324" s="1998">
        <f>IF(Construction!$F$31=Construction!$R$22,Oeko!CE324,Oeko!ER324)</f>
        <v>1</v>
      </c>
      <c r="S324" s="1979">
        <f>IF(Construction!$F$31=Construction!$R$22,Oeko!CF324,Oeko!ES324)</f>
        <v>1</v>
      </c>
      <c r="T324" s="1979">
        <f>IF(Construction!$F$31=Construction!$R$22,Oeko!CG324,Oeko!ET324)</f>
        <v>1</v>
      </c>
      <c r="U324" s="1979">
        <f>IF(Construction!$F$31=Construction!$R$22,Oeko!CH324,Oeko!EU324)</f>
        <v>1</v>
      </c>
      <c r="V324" s="1979">
        <f>IF(Construction!$F$31=Construction!$R$22,Oeko!CI324,Oeko!EV324)</f>
        <v>1</v>
      </c>
      <c r="W324" s="1979">
        <f>IF(Construction!$F$31=Construction!$R$22,Oeko!CJ324,Oeko!EW324)</f>
        <v>1</v>
      </c>
      <c r="X324" s="1998">
        <f>IF(Construction!$F$31=Construction!$R$22,Oeko!CK324,Oeko!EX324)</f>
        <v>1</v>
      </c>
      <c r="Y324" s="1998">
        <f>IF(Construction!$F$31=Construction!$R$22,Oeko!CL324,Oeko!EY324)</f>
        <v>1</v>
      </c>
      <c r="Z324" s="1998">
        <f>IF(Construction!$F$31=Construction!$R$22,Oeko!CM324,Oeko!EZ324)</f>
        <v>1</v>
      </c>
      <c r="AA324" s="1998">
        <f>IF(Construction!$F$31=Construction!$R$22,Oeko!CN324,Oeko!FA324)</f>
        <v>1</v>
      </c>
      <c r="AB324" s="1998">
        <f>IF(Construction!$F$31=Construction!$R$22,Oeko!CO324,Oeko!FB324)</f>
        <v>1</v>
      </c>
      <c r="AC324" s="1979">
        <f>IF(Construction!$F$31=Construction!$R$22,Oeko!CP324,Oeko!FC324)</f>
        <v>1</v>
      </c>
      <c r="AD324" s="1979">
        <f>IF(Construction!$F$31=Construction!$R$22,Oeko!CQ324,Oeko!FD324)</f>
        <v>1</v>
      </c>
      <c r="AE324" s="1979">
        <f>IF(Construction!$F$31=Construction!$R$22,Oeko!CR324,Oeko!FE324)</f>
        <v>1</v>
      </c>
      <c r="AF324" s="1979">
        <f>IF(Construction!$F$31=Construction!$R$22,Oeko!CS324,Oeko!FF324)</f>
        <v>1</v>
      </c>
      <c r="AG324" s="1979">
        <f>IF(Construction!$F$31=Construction!$R$22,Oeko!CT324,Oeko!FG324)</f>
        <v>1</v>
      </c>
      <c r="AH324" s="1998">
        <f>IF(Construction!$F$31=Construction!$R$22,Oeko!CU324,Oeko!FH324)</f>
        <v>1</v>
      </c>
      <c r="AI324" s="1998">
        <f>IF(Construction!$F$31=Construction!$R$22,Oeko!CV324,Oeko!FI324)</f>
        <v>1</v>
      </c>
      <c r="AJ324" s="1998">
        <f>IF(Construction!$F$31=Construction!$R$22,Oeko!CW324,Oeko!FJ324)</f>
        <v>1</v>
      </c>
      <c r="AK324" s="1998">
        <f>IF(Construction!$F$31=Construction!$R$22,Oeko!CX324,Oeko!FK324)</f>
        <v>1</v>
      </c>
      <c r="AL324" s="1998">
        <f>IF(Construction!$F$31=Construction!$R$22,Oeko!CY324,Oeko!FL324)</f>
        <v>1</v>
      </c>
      <c r="AM324" s="1979">
        <f>IF(Construction!$F$31=Construction!$R$22,Oeko!CZ324,Oeko!FM324)</f>
        <v>1</v>
      </c>
      <c r="AN324" s="1979">
        <f>IF(Construction!$F$31=Construction!$R$22,Oeko!DA324,Oeko!FN324)</f>
        <v>1</v>
      </c>
      <c r="AO324" s="1979">
        <f>IF(Construction!$F$31=Construction!$R$22,Oeko!DB324,Oeko!FO324)</f>
        <v>1</v>
      </c>
      <c r="AP324" s="1979">
        <f>IF(Construction!$F$31=Construction!$R$22,Oeko!DC324,Oeko!FP324)</f>
        <v>1</v>
      </c>
      <c r="AQ324" s="1979">
        <f>IF(Construction!$F$31=Construction!$R$22,Oeko!DD324,Oeko!FQ324)</f>
        <v>1</v>
      </c>
      <c r="AR324" s="1998">
        <f>IF(Construction!$F$31=Construction!$R$22,Oeko!DE324,Oeko!FR324)</f>
        <v>8.0488597659215451</v>
      </c>
      <c r="AS324" s="1998">
        <f>IF(Construction!$F$31=Construction!$R$22,Oeko!DF324,Oeko!FS324)</f>
        <v>8.0488597659215451</v>
      </c>
      <c r="AT324" s="1998">
        <f>IF(Construction!$F$31=Construction!$R$22,Oeko!DG324,Oeko!FT324)</f>
        <v>8.0488597659215451</v>
      </c>
      <c r="AU324" s="1998">
        <f>IF(Construction!$F$31=Construction!$R$22,Oeko!DH324,Oeko!FU324)</f>
        <v>8.0488597659215451</v>
      </c>
      <c r="AV324" s="1998">
        <f>IF(Construction!$F$31=Construction!$R$22,Oeko!DI324,Oeko!FV324)</f>
        <v>8.0488597659215451</v>
      </c>
      <c r="AW324" s="1979">
        <f>IF(Construction!$F$31=Construction!$R$22,Oeko!DJ324,Oeko!FW324)</f>
        <v>8.0329061668367086</v>
      </c>
      <c r="AX324" s="1979">
        <f>IF(Construction!$F$31=Construction!$R$22,Oeko!DK324,Oeko!FX324)</f>
        <v>8.0329061668367086</v>
      </c>
      <c r="AY324" s="1979">
        <f>IF(Construction!$F$31=Construction!$R$22,Oeko!DL324,Oeko!FY324)</f>
        <v>8.0329061668367086</v>
      </c>
      <c r="AZ324" s="1979">
        <f>IF(Construction!$F$31=Construction!$R$22,Oeko!DM324,Oeko!FZ324)</f>
        <v>8.0329061668367086</v>
      </c>
      <c r="BA324" s="1979">
        <f>IF(Construction!$F$31=Construction!$R$22,Oeko!DN324,Oeko!GA324)</f>
        <v>8.0329061668367086</v>
      </c>
      <c r="BB324" s="1998">
        <f>IF(Construction!$F$31=Construction!$R$22,Oeko!DO324,Oeko!GB324)</f>
        <v>0.97975662301212196</v>
      </c>
      <c r="BC324" s="1998">
        <f>IF(Construction!$F$31=Construction!$R$22,Oeko!DP324,Oeko!GC324)</f>
        <v>0.97975662301212196</v>
      </c>
      <c r="BD324" s="1998">
        <f>IF(Construction!$F$31=Construction!$R$22,Oeko!DQ324,Oeko!GD324)</f>
        <v>0.97975662301212196</v>
      </c>
      <c r="BE324" s="1998">
        <f>IF(Construction!$F$31=Construction!$R$22,Oeko!DR324,Oeko!GE324)</f>
        <v>0.97975662301212196</v>
      </c>
      <c r="BF324" s="1998">
        <f>IF(Construction!$F$31=Construction!$R$22,Oeko!DS324,Oeko!GF324)</f>
        <v>0.97975662301212196</v>
      </c>
      <c r="BG324" s="1979">
        <f>IF(Construction!$F$31=Construction!$R$22,Oeko!DT324,Oeko!GG324)</f>
        <v>0.97614876347816082</v>
      </c>
      <c r="BH324" s="1979">
        <f>IF(Construction!$F$31=Construction!$R$22,Oeko!DU324,Oeko!GH324)</f>
        <v>0.97614876347816082</v>
      </c>
      <c r="BI324" s="1979">
        <f>IF(Construction!$F$31=Construction!$R$22,Oeko!DV324,Oeko!GI324)</f>
        <v>0.97614876347816082</v>
      </c>
      <c r="BJ324" s="1979">
        <f>IF(Construction!$F$31=Construction!$R$22,Oeko!DW324,Oeko!GJ324)</f>
        <v>0.97614876347816082</v>
      </c>
      <c r="BK324" s="2021">
        <f>IF(Construction!$F$31=Construction!$R$22,Oeko!DX324,Oeko!GK324)</f>
        <v>0.97614876347816082</v>
      </c>
      <c r="BN324" s="2022"/>
      <c r="BO324" s="2">
        <v>18</v>
      </c>
      <c r="BP324" s="2" t="str">
        <f>CONCATENATE($U$8," ",$V$15)</f>
        <v>Proportion de fenêtres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Proportion de fenêtres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Proportion de fenêtres 60</v>
      </c>
      <c r="D325" s="1998">
        <f>IF(Construction!$F$31=Construction!$R$22,Oeko!BQ325,Oeko!ED325)</f>
        <v>1.09375</v>
      </c>
      <c r="E325" s="1998">
        <f>IF(Construction!$F$31=Construction!$R$22,Oeko!BR325,Oeko!EE325)</f>
        <v>1</v>
      </c>
      <c r="F325" s="1998">
        <f>IF(Construction!$F$31=Construction!$R$22,Oeko!BS325,Oeko!EF325)</f>
        <v>1</v>
      </c>
      <c r="G325" s="1998">
        <f>IF(Construction!$F$31=Construction!$R$22,Oeko!BT325,Oeko!EG325)</f>
        <v>1</v>
      </c>
      <c r="H325" s="1998">
        <f>IF(Construction!$F$31=Construction!$R$22,Oeko!BU325,Oeko!EH325)</f>
        <v>1</v>
      </c>
      <c r="I325" s="1979">
        <f>IF(Construction!$F$31=Construction!$R$22,Oeko!BV325,Oeko!EI325)</f>
        <v>1</v>
      </c>
      <c r="J325" s="1979">
        <f>IF(Construction!$F$31=Construction!$R$22,Oeko!BW325,Oeko!EJ325)</f>
        <v>1</v>
      </c>
      <c r="K325" s="1979">
        <f>IF(Construction!$F$31=Construction!$R$22,Oeko!BX325,Oeko!EK325)</f>
        <v>1</v>
      </c>
      <c r="L325" s="1979">
        <f>IF(Construction!$F$31=Construction!$R$22,Oeko!BY325,Oeko!EL325)</f>
        <v>1</v>
      </c>
      <c r="M325" s="1979">
        <f>IF(Construction!$F$31=Construction!$R$22,Oeko!BZ325,Oeko!EM325)</f>
        <v>1</v>
      </c>
      <c r="N325" s="1998">
        <f>IF(Construction!$F$31=Construction!$R$22,Oeko!CA325,Oeko!EN325)</f>
        <v>1</v>
      </c>
      <c r="O325" s="1998">
        <f>IF(Construction!$F$31=Construction!$R$22,Oeko!CB325,Oeko!EO325)</f>
        <v>1</v>
      </c>
      <c r="P325" s="1998">
        <f>IF(Construction!$F$31=Construction!$R$22,Oeko!CC325,Oeko!EP325)</f>
        <v>1</v>
      </c>
      <c r="Q325" s="1998">
        <f>IF(Construction!$F$31=Construction!$R$22,Oeko!CD325,Oeko!EQ325)</f>
        <v>1</v>
      </c>
      <c r="R325" s="1998">
        <f>IF(Construction!$F$31=Construction!$R$22,Oeko!CE325,Oeko!ER325)</f>
        <v>1</v>
      </c>
      <c r="S325" s="1979">
        <f>IF(Construction!$F$31=Construction!$R$22,Oeko!CF325,Oeko!ES325)</f>
        <v>1</v>
      </c>
      <c r="T325" s="1979">
        <f>IF(Construction!$F$31=Construction!$R$22,Oeko!CG325,Oeko!ET325)</f>
        <v>1</v>
      </c>
      <c r="U325" s="1979">
        <f>IF(Construction!$F$31=Construction!$R$22,Oeko!CH325,Oeko!EU325)</f>
        <v>1</v>
      </c>
      <c r="V325" s="1979">
        <f>IF(Construction!$F$31=Construction!$R$22,Oeko!CI325,Oeko!EV325)</f>
        <v>1</v>
      </c>
      <c r="W325" s="1979">
        <f>IF(Construction!$F$31=Construction!$R$22,Oeko!CJ325,Oeko!EW325)</f>
        <v>1</v>
      </c>
      <c r="X325" s="1998">
        <f>IF(Construction!$F$31=Construction!$R$22,Oeko!CK325,Oeko!EX325)</f>
        <v>1</v>
      </c>
      <c r="Y325" s="1998">
        <f>IF(Construction!$F$31=Construction!$R$22,Oeko!CL325,Oeko!EY325)</f>
        <v>1</v>
      </c>
      <c r="Z325" s="1998">
        <f>IF(Construction!$F$31=Construction!$R$22,Oeko!CM325,Oeko!EZ325)</f>
        <v>1</v>
      </c>
      <c r="AA325" s="1998">
        <f>IF(Construction!$F$31=Construction!$R$22,Oeko!CN325,Oeko!FA325)</f>
        <v>1</v>
      </c>
      <c r="AB325" s="1998">
        <f>IF(Construction!$F$31=Construction!$R$22,Oeko!CO325,Oeko!FB325)</f>
        <v>1</v>
      </c>
      <c r="AC325" s="1979">
        <f>IF(Construction!$F$31=Construction!$R$22,Oeko!CP325,Oeko!FC325)</f>
        <v>1</v>
      </c>
      <c r="AD325" s="1979">
        <f>IF(Construction!$F$31=Construction!$R$22,Oeko!CQ325,Oeko!FD325)</f>
        <v>1</v>
      </c>
      <c r="AE325" s="1979">
        <f>IF(Construction!$F$31=Construction!$R$22,Oeko!CR325,Oeko!FE325)</f>
        <v>1</v>
      </c>
      <c r="AF325" s="1979">
        <f>IF(Construction!$F$31=Construction!$R$22,Oeko!CS325,Oeko!FF325)</f>
        <v>1</v>
      </c>
      <c r="AG325" s="1979">
        <f>IF(Construction!$F$31=Construction!$R$22,Oeko!CT325,Oeko!FG325)</f>
        <v>1</v>
      </c>
      <c r="AH325" s="1998">
        <f>IF(Construction!$F$31=Construction!$R$22,Oeko!CU325,Oeko!FH325)</f>
        <v>1</v>
      </c>
      <c r="AI325" s="1998">
        <f>IF(Construction!$F$31=Construction!$R$22,Oeko!CV325,Oeko!FI325)</f>
        <v>1</v>
      </c>
      <c r="AJ325" s="1998">
        <f>IF(Construction!$F$31=Construction!$R$22,Oeko!CW325,Oeko!FJ325)</f>
        <v>1</v>
      </c>
      <c r="AK325" s="1998">
        <f>IF(Construction!$F$31=Construction!$R$22,Oeko!CX325,Oeko!FK325)</f>
        <v>1</v>
      </c>
      <c r="AL325" s="1998">
        <f>IF(Construction!$F$31=Construction!$R$22,Oeko!CY325,Oeko!FL325)</f>
        <v>1</v>
      </c>
      <c r="AM325" s="1979">
        <f>IF(Construction!$F$31=Construction!$R$22,Oeko!CZ325,Oeko!FM325)</f>
        <v>1</v>
      </c>
      <c r="AN325" s="1979">
        <f>IF(Construction!$F$31=Construction!$R$22,Oeko!DA325,Oeko!FN325)</f>
        <v>1</v>
      </c>
      <c r="AO325" s="1979">
        <f>IF(Construction!$F$31=Construction!$R$22,Oeko!DB325,Oeko!FO325)</f>
        <v>1</v>
      </c>
      <c r="AP325" s="1979">
        <f>IF(Construction!$F$31=Construction!$R$22,Oeko!DC325,Oeko!FP325)</f>
        <v>1</v>
      </c>
      <c r="AQ325" s="1979">
        <f>IF(Construction!$F$31=Construction!$R$22,Oeko!DD325,Oeko!FQ325)</f>
        <v>1</v>
      </c>
      <c r="AR325" s="1998">
        <f>IF(Construction!$F$31=Construction!$R$22,Oeko!DE325,Oeko!FR325)</f>
        <v>8.0488597659215451</v>
      </c>
      <c r="AS325" s="1998">
        <f>IF(Construction!$F$31=Construction!$R$22,Oeko!DF325,Oeko!FS325)</f>
        <v>8.0488597659215451</v>
      </c>
      <c r="AT325" s="1998">
        <f>IF(Construction!$F$31=Construction!$R$22,Oeko!DG325,Oeko!FT325)</f>
        <v>8.0488597659215451</v>
      </c>
      <c r="AU325" s="1998">
        <f>IF(Construction!$F$31=Construction!$R$22,Oeko!DH325,Oeko!FU325)</f>
        <v>8.0488597659215451</v>
      </c>
      <c r="AV325" s="1998">
        <f>IF(Construction!$F$31=Construction!$R$22,Oeko!DI325,Oeko!FV325)</f>
        <v>8.0488597659215451</v>
      </c>
      <c r="AW325" s="1979">
        <f>IF(Construction!$F$31=Construction!$R$22,Oeko!DJ325,Oeko!FW325)</f>
        <v>8.0329061668367086</v>
      </c>
      <c r="AX325" s="1979">
        <f>IF(Construction!$F$31=Construction!$R$22,Oeko!DK325,Oeko!FX325)</f>
        <v>8.0329061668367086</v>
      </c>
      <c r="AY325" s="1979">
        <f>IF(Construction!$F$31=Construction!$R$22,Oeko!DL325,Oeko!FY325)</f>
        <v>8.0329061668367086</v>
      </c>
      <c r="AZ325" s="1979">
        <f>IF(Construction!$F$31=Construction!$R$22,Oeko!DM325,Oeko!FZ325)</f>
        <v>8.0329061668367086</v>
      </c>
      <c r="BA325" s="1979">
        <f>IF(Construction!$F$31=Construction!$R$22,Oeko!DN325,Oeko!GA325)</f>
        <v>8.0329061668367086</v>
      </c>
      <c r="BB325" s="1998">
        <f>IF(Construction!$F$31=Construction!$R$22,Oeko!DO325,Oeko!GB325)</f>
        <v>0.97975662301212196</v>
      </c>
      <c r="BC325" s="1998">
        <f>IF(Construction!$F$31=Construction!$R$22,Oeko!DP325,Oeko!GC325)</f>
        <v>0.97975662301212196</v>
      </c>
      <c r="BD325" s="1998">
        <f>IF(Construction!$F$31=Construction!$R$22,Oeko!DQ325,Oeko!GD325)</f>
        <v>0.97975662301212196</v>
      </c>
      <c r="BE325" s="1998">
        <f>IF(Construction!$F$31=Construction!$R$22,Oeko!DR325,Oeko!GE325)</f>
        <v>0.97975662301212196</v>
      </c>
      <c r="BF325" s="1998">
        <f>IF(Construction!$F$31=Construction!$R$22,Oeko!DS325,Oeko!GF325)</f>
        <v>0.97975662301212196</v>
      </c>
      <c r="BG325" s="1979">
        <f>IF(Construction!$F$31=Construction!$R$22,Oeko!DT325,Oeko!GG325)</f>
        <v>0.97614876347816082</v>
      </c>
      <c r="BH325" s="1979">
        <f>IF(Construction!$F$31=Construction!$R$22,Oeko!DU325,Oeko!GH325)</f>
        <v>0.97614876347816082</v>
      </c>
      <c r="BI325" s="1979">
        <f>IF(Construction!$F$31=Construction!$R$22,Oeko!DV325,Oeko!GI325)</f>
        <v>0.97614876347816082</v>
      </c>
      <c r="BJ325" s="1979">
        <f>IF(Construction!$F$31=Construction!$R$22,Oeko!DW325,Oeko!GJ325)</f>
        <v>0.97614876347816082</v>
      </c>
      <c r="BK325" s="2021">
        <f>IF(Construction!$F$31=Construction!$R$22,Oeko!DX325,Oeko!GK325)</f>
        <v>0.97614876347816082</v>
      </c>
      <c r="BN325" s="2022"/>
      <c r="BO325" s="2">
        <v>19</v>
      </c>
      <c r="BP325" s="2" t="str">
        <f>CONCATENATE($U$8," ",$V$16)</f>
        <v>Proportion de fenêtres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Proportion de fenêtres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Proportion de fenêtres 70</v>
      </c>
      <c r="D326" s="1998">
        <f>IF(Construction!$F$31=Construction!$R$22,Oeko!BQ326,Oeko!ED326)</f>
        <v>1.09375</v>
      </c>
      <c r="E326" s="1998">
        <f>IF(Construction!$F$31=Construction!$R$22,Oeko!BR326,Oeko!EE326)</f>
        <v>1</v>
      </c>
      <c r="F326" s="1998">
        <f>IF(Construction!$F$31=Construction!$R$22,Oeko!BS326,Oeko!EF326)</f>
        <v>1</v>
      </c>
      <c r="G326" s="1998">
        <f>IF(Construction!$F$31=Construction!$R$22,Oeko!BT326,Oeko!EG326)</f>
        <v>1</v>
      </c>
      <c r="H326" s="1998">
        <f>IF(Construction!$F$31=Construction!$R$22,Oeko!BU326,Oeko!EH326)</f>
        <v>1</v>
      </c>
      <c r="I326" s="1979">
        <f>IF(Construction!$F$31=Construction!$R$22,Oeko!BV326,Oeko!EI326)</f>
        <v>1</v>
      </c>
      <c r="J326" s="1979">
        <f>IF(Construction!$F$31=Construction!$R$22,Oeko!BW326,Oeko!EJ326)</f>
        <v>1</v>
      </c>
      <c r="K326" s="1979">
        <f>IF(Construction!$F$31=Construction!$R$22,Oeko!BX326,Oeko!EK326)</f>
        <v>1</v>
      </c>
      <c r="L326" s="1979">
        <f>IF(Construction!$F$31=Construction!$R$22,Oeko!BY326,Oeko!EL326)</f>
        <v>1</v>
      </c>
      <c r="M326" s="1979">
        <f>IF(Construction!$F$31=Construction!$R$22,Oeko!BZ326,Oeko!EM326)</f>
        <v>1</v>
      </c>
      <c r="N326" s="1998">
        <f>IF(Construction!$F$31=Construction!$R$22,Oeko!CA326,Oeko!EN326)</f>
        <v>1</v>
      </c>
      <c r="O326" s="1998">
        <f>IF(Construction!$F$31=Construction!$R$22,Oeko!CB326,Oeko!EO326)</f>
        <v>1</v>
      </c>
      <c r="P326" s="1998">
        <f>IF(Construction!$F$31=Construction!$R$22,Oeko!CC326,Oeko!EP326)</f>
        <v>1</v>
      </c>
      <c r="Q326" s="1998">
        <f>IF(Construction!$F$31=Construction!$R$22,Oeko!CD326,Oeko!EQ326)</f>
        <v>1</v>
      </c>
      <c r="R326" s="1998">
        <f>IF(Construction!$F$31=Construction!$R$22,Oeko!CE326,Oeko!ER326)</f>
        <v>1</v>
      </c>
      <c r="S326" s="1979">
        <f>IF(Construction!$F$31=Construction!$R$22,Oeko!CF326,Oeko!ES326)</f>
        <v>1</v>
      </c>
      <c r="T326" s="1979">
        <f>IF(Construction!$F$31=Construction!$R$22,Oeko!CG326,Oeko!ET326)</f>
        <v>1</v>
      </c>
      <c r="U326" s="1979">
        <f>IF(Construction!$F$31=Construction!$R$22,Oeko!CH326,Oeko!EU326)</f>
        <v>1</v>
      </c>
      <c r="V326" s="1979">
        <f>IF(Construction!$F$31=Construction!$R$22,Oeko!CI326,Oeko!EV326)</f>
        <v>1</v>
      </c>
      <c r="W326" s="1979">
        <f>IF(Construction!$F$31=Construction!$R$22,Oeko!CJ326,Oeko!EW326)</f>
        <v>1</v>
      </c>
      <c r="X326" s="1998">
        <f>IF(Construction!$F$31=Construction!$R$22,Oeko!CK326,Oeko!EX326)</f>
        <v>1</v>
      </c>
      <c r="Y326" s="1998">
        <f>IF(Construction!$F$31=Construction!$R$22,Oeko!CL326,Oeko!EY326)</f>
        <v>1</v>
      </c>
      <c r="Z326" s="1998">
        <f>IF(Construction!$F$31=Construction!$R$22,Oeko!CM326,Oeko!EZ326)</f>
        <v>1</v>
      </c>
      <c r="AA326" s="1998">
        <f>IF(Construction!$F$31=Construction!$R$22,Oeko!CN326,Oeko!FA326)</f>
        <v>1</v>
      </c>
      <c r="AB326" s="1998">
        <f>IF(Construction!$F$31=Construction!$R$22,Oeko!CO326,Oeko!FB326)</f>
        <v>1</v>
      </c>
      <c r="AC326" s="1979">
        <f>IF(Construction!$F$31=Construction!$R$22,Oeko!CP326,Oeko!FC326)</f>
        <v>1</v>
      </c>
      <c r="AD326" s="1979">
        <f>IF(Construction!$F$31=Construction!$R$22,Oeko!CQ326,Oeko!FD326)</f>
        <v>1</v>
      </c>
      <c r="AE326" s="1979">
        <f>IF(Construction!$F$31=Construction!$R$22,Oeko!CR326,Oeko!FE326)</f>
        <v>1</v>
      </c>
      <c r="AF326" s="1979">
        <f>IF(Construction!$F$31=Construction!$R$22,Oeko!CS326,Oeko!FF326)</f>
        <v>1</v>
      </c>
      <c r="AG326" s="1979">
        <f>IF(Construction!$F$31=Construction!$R$22,Oeko!CT326,Oeko!FG326)</f>
        <v>1</v>
      </c>
      <c r="AH326" s="1998">
        <f>IF(Construction!$F$31=Construction!$R$22,Oeko!CU326,Oeko!FH326)</f>
        <v>1</v>
      </c>
      <c r="AI326" s="1998">
        <f>IF(Construction!$F$31=Construction!$R$22,Oeko!CV326,Oeko!FI326)</f>
        <v>1</v>
      </c>
      <c r="AJ326" s="1998">
        <f>IF(Construction!$F$31=Construction!$R$22,Oeko!CW326,Oeko!FJ326)</f>
        <v>1</v>
      </c>
      <c r="AK326" s="1998">
        <f>IF(Construction!$F$31=Construction!$R$22,Oeko!CX326,Oeko!FK326)</f>
        <v>1</v>
      </c>
      <c r="AL326" s="1998">
        <f>IF(Construction!$F$31=Construction!$R$22,Oeko!CY326,Oeko!FL326)</f>
        <v>1</v>
      </c>
      <c r="AM326" s="1979">
        <f>IF(Construction!$F$31=Construction!$R$22,Oeko!CZ326,Oeko!FM326)</f>
        <v>1</v>
      </c>
      <c r="AN326" s="1979">
        <f>IF(Construction!$F$31=Construction!$R$22,Oeko!DA326,Oeko!FN326)</f>
        <v>1</v>
      </c>
      <c r="AO326" s="1979">
        <f>IF(Construction!$F$31=Construction!$R$22,Oeko!DB326,Oeko!FO326)</f>
        <v>1</v>
      </c>
      <c r="AP326" s="1979">
        <f>IF(Construction!$F$31=Construction!$R$22,Oeko!DC326,Oeko!FP326)</f>
        <v>1</v>
      </c>
      <c r="AQ326" s="1979">
        <f>IF(Construction!$F$31=Construction!$R$22,Oeko!DD326,Oeko!FQ326)</f>
        <v>1</v>
      </c>
      <c r="AR326" s="1998">
        <f>IF(Construction!$F$31=Construction!$R$22,Oeko!DE326,Oeko!FR326)</f>
        <v>8.0488597659215451</v>
      </c>
      <c r="AS326" s="1998">
        <f>IF(Construction!$F$31=Construction!$R$22,Oeko!DF326,Oeko!FS326)</f>
        <v>8.0488597659215451</v>
      </c>
      <c r="AT326" s="1998">
        <f>IF(Construction!$F$31=Construction!$R$22,Oeko!DG326,Oeko!FT326)</f>
        <v>8.0488597659215451</v>
      </c>
      <c r="AU326" s="1998">
        <f>IF(Construction!$F$31=Construction!$R$22,Oeko!DH326,Oeko!FU326)</f>
        <v>8.0488597659215451</v>
      </c>
      <c r="AV326" s="1998">
        <f>IF(Construction!$F$31=Construction!$R$22,Oeko!DI326,Oeko!FV326)</f>
        <v>8.0488597659215451</v>
      </c>
      <c r="AW326" s="1979">
        <f>IF(Construction!$F$31=Construction!$R$22,Oeko!DJ326,Oeko!FW326)</f>
        <v>8.0329061668367086</v>
      </c>
      <c r="AX326" s="1979">
        <f>IF(Construction!$F$31=Construction!$R$22,Oeko!DK326,Oeko!FX326)</f>
        <v>8.0329061668367086</v>
      </c>
      <c r="AY326" s="1979">
        <f>IF(Construction!$F$31=Construction!$R$22,Oeko!DL326,Oeko!FY326)</f>
        <v>8.0329061668367086</v>
      </c>
      <c r="AZ326" s="1979">
        <f>IF(Construction!$F$31=Construction!$R$22,Oeko!DM326,Oeko!FZ326)</f>
        <v>8.0329061668367086</v>
      </c>
      <c r="BA326" s="1979">
        <f>IF(Construction!$F$31=Construction!$R$22,Oeko!DN326,Oeko!GA326)</f>
        <v>8.0329061668367086</v>
      </c>
      <c r="BB326" s="1998">
        <f>IF(Construction!$F$31=Construction!$R$22,Oeko!DO326,Oeko!GB326)</f>
        <v>0.97975662301212196</v>
      </c>
      <c r="BC326" s="1998">
        <f>IF(Construction!$F$31=Construction!$R$22,Oeko!DP326,Oeko!GC326)</f>
        <v>0.97975662301212196</v>
      </c>
      <c r="BD326" s="1998">
        <f>IF(Construction!$F$31=Construction!$R$22,Oeko!DQ326,Oeko!GD326)</f>
        <v>0.97975662301212196</v>
      </c>
      <c r="BE326" s="1998">
        <f>IF(Construction!$F$31=Construction!$R$22,Oeko!DR326,Oeko!GE326)</f>
        <v>0.97975662301212196</v>
      </c>
      <c r="BF326" s="1998">
        <f>IF(Construction!$F$31=Construction!$R$22,Oeko!DS326,Oeko!GF326)</f>
        <v>0.97975662301212196</v>
      </c>
      <c r="BG326" s="1979">
        <f>IF(Construction!$F$31=Construction!$R$22,Oeko!DT326,Oeko!GG326)</f>
        <v>0.97614876347816082</v>
      </c>
      <c r="BH326" s="1979">
        <f>IF(Construction!$F$31=Construction!$R$22,Oeko!DU326,Oeko!GH326)</f>
        <v>0.97614876347816082</v>
      </c>
      <c r="BI326" s="1979">
        <f>IF(Construction!$F$31=Construction!$R$22,Oeko!DV326,Oeko!GI326)</f>
        <v>0.97614876347816082</v>
      </c>
      <c r="BJ326" s="1979">
        <f>IF(Construction!$F$31=Construction!$R$22,Oeko!DW326,Oeko!GJ326)</f>
        <v>0.97614876347816082</v>
      </c>
      <c r="BK326" s="2021">
        <f>IF(Construction!$F$31=Construction!$R$22,Oeko!DX326,Oeko!GK326)</f>
        <v>0.97614876347816082</v>
      </c>
      <c r="BN326" s="2022"/>
      <c r="BO326" s="2">
        <v>20</v>
      </c>
      <c r="BP326" s="2" t="str">
        <f>CONCATENATE($U$8," ",$V$17)</f>
        <v>Proportion de fenêtres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Proportion de fenêtres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Proportion de fenêtres 80</v>
      </c>
      <c r="D327" s="1998">
        <f>IF(Construction!$F$31=Construction!$R$22,Oeko!BQ327,Oeko!ED327)</f>
        <v>1.09375</v>
      </c>
      <c r="E327" s="1998">
        <f>IF(Construction!$F$31=Construction!$R$22,Oeko!BR327,Oeko!EE327)</f>
        <v>1</v>
      </c>
      <c r="F327" s="1998">
        <f>IF(Construction!$F$31=Construction!$R$22,Oeko!BS327,Oeko!EF327)</f>
        <v>1</v>
      </c>
      <c r="G327" s="1998">
        <f>IF(Construction!$F$31=Construction!$R$22,Oeko!BT327,Oeko!EG327)</f>
        <v>1</v>
      </c>
      <c r="H327" s="1998">
        <f>IF(Construction!$F$31=Construction!$R$22,Oeko!BU327,Oeko!EH327)</f>
        <v>1</v>
      </c>
      <c r="I327" s="1979">
        <f>IF(Construction!$F$31=Construction!$R$22,Oeko!BV327,Oeko!EI327)</f>
        <v>1</v>
      </c>
      <c r="J327" s="1979">
        <f>IF(Construction!$F$31=Construction!$R$22,Oeko!BW327,Oeko!EJ327)</f>
        <v>1</v>
      </c>
      <c r="K327" s="1979">
        <f>IF(Construction!$F$31=Construction!$R$22,Oeko!BX327,Oeko!EK327)</f>
        <v>1</v>
      </c>
      <c r="L327" s="1979">
        <f>IF(Construction!$F$31=Construction!$R$22,Oeko!BY327,Oeko!EL327)</f>
        <v>1</v>
      </c>
      <c r="M327" s="1979">
        <f>IF(Construction!$F$31=Construction!$R$22,Oeko!BZ327,Oeko!EM327)</f>
        <v>1</v>
      </c>
      <c r="N327" s="1998">
        <f>IF(Construction!$F$31=Construction!$R$22,Oeko!CA327,Oeko!EN327)</f>
        <v>1</v>
      </c>
      <c r="O327" s="1998">
        <f>IF(Construction!$F$31=Construction!$R$22,Oeko!CB327,Oeko!EO327)</f>
        <v>1</v>
      </c>
      <c r="P327" s="1998">
        <f>IF(Construction!$F$31=Construction!$R$22,Oeko!CC327,Oeko!EP327)</f>
        <v>1</v>
      </c>
      <c r="Q327" s="1998">
        <f>IF(Construction!$F$31=Construction!$R$22,Oeko!CD327,Oeko!EQ327)</f>
        <v>1</v>
      </c>
      <c r="R327" s="1998">
        <f>IF(Construction!$F$31=Construction!$R$22,Oeko!CE327,Oeko!ER327)</f>
        <v>1</v>
      </c>
      <c r="S327" s="1979">
        <f>IF(Construction!$F$31=Construction!$R$22,Oeko!CF327,Oeko!ES327)</f>
        <v>1</v>
      </c>
      <c r="T327" s="1979">
        <f>IF(Construction!$F$31=Construction!$R$22,Oeko!CG327,Oeko!ET327)</f>
        <v>1</v>
      </c>
      <c r="U327" s="1979">
        <f>IF(Construction!$F$31=Construction!$R$22,Oeko!CH327,Oeko!EU327)</f>
        <v>1</v>
      </c>
      <c r="V327" s="1979">
        <f>IF(Construction!$F$31=Construction!$R$22,Oeko!CI327,Oeko!EV327)</f>
        <v>1</v>
      </c>
      <c r="W327" s="1979">
        <f>IF(Construction!$F$31=Construction!$R$22,Oeko!CJ327,Oeko!EW327)</f>
        <v>1</v>
      </c>
      <c r="X327" s="1998">
        <f>IF(Construction!$F$31=Construction!$R$22,Oeko!CK327,Oeko!EX327)</f>
        <v>1</v>
      </c>
      <c r="Y327" s="1998">
        <f>IF(Construction!$F$31=Construction!$R$22,Oeko!CL327,Oeko!EY327)</f>
        <v>1</v>
      </c>
      <c r="Z327" s="1998">
        <f>IF(Construction!$F$31=Construction!$R$22,Oeko!CM327,Oeko!EZ327)</f>
        <v>1</v>
      </c>
      <c r="AA327" s="1998">
        <f>IF(Construction!$F$31=Construction!$R$22,Oeko!CN327,Oeko!FA327)</f>
        <v>1</v>
      </c>
      <c r="AB327" s="1998">
        <f>IF(Construction!$F$31=Construction!$R$22,Oeko!CO327,Oeko!FB327)</f>
        <v>1</v>
      </c>
      <c r="AC327" s="1979">
        <f>IF(Construction!$F$31=Construction!$R$22,Oeko!CP327,Oeko!FC327)</f>
        <v>1</v>
      </c>
      <c r="AD327" s="1979">
        <f>IF(Construction!$F$31=Construction!$R$22,Oeko!CQ327,Oeko!FD327)</f>
        <v>1</v>
      </c>
      <c r="AE327" s="1979">
        <f>IF(Construction!$F$31=Construction!$R$22,Oeko!CR327,Oeko!FE327)</f>
        <v>1</v>
      </c>
      <c r="AF327" s="1979">
        <f>IF(Construction!$F$31=Construction!$R$22,Oeko!CS327,Oeko!FF327)</f>
        <v>1</v>
      </c>
      <c r="AG327" s="1979">
        <f>IF(Construction!$F$31=Construction!$R$22,Oeko!CT327,Oeko!FG327)</f>
        <v>1</v>
      </c>
      <c r="AH327" s="1998">
        <f>IF(Construction!$F$31=Construction!$R$22,Oeko!CU327,Oeko!FH327)</f>
        <v>1</v>
      </c>
      <c r="AI327" s="1998">
        <f>IF(Construction!$F$31=Construction!$R$22,Oeko!CV327,Oeko!FI327)</f>
        <v>1</v>
      </c>
      <c r="AJ327" s="1998">
        <f>IF(Construction!$F$31=Construction!$R$22,Oeko!CW327,Oeko!FJ327)</f>
        <v>1</v>
      </c>
      <c r="AK327" s="1998">
        <f>IF(Construction!$F$31=Construction!$R$22,Oeko!CX327,Oeko!FK327)</f>
        <v>1</v>
      </c>
      <c r="AL327" s="1998">
        <f>IF(Construction!$F$31=Construction!$R$22,Oeko!CY327,Oeko!FL327)</f>
        <v>1</v>
      </c>
      <c r="AM327" s="1979">
        <f>IF(Construction!$F$31=Construction!$R$22,Oeko!CZ327,Oeko!FM327)</f>
        <v>1</v>
      </c>
      <c r="AN327" s="1979">
        <f>IF(Construction!$F$31=Construction!$R$22,Oeko!DA327,Oeko!FN327)</f>
        <v>1</v>
      </c>
      <c r="AO327" s="1979">
        <f>IF(Construction!$F$31=Construction!$R$22,Oeko!DB327,Oeko!FO327)</f>
        <v>1</v>
      </c>
      <c r="AP327" s="1979">
        <f>IF(Construction!$F$31=Construction!$R$22,Oeko!DC327,Oeko!FP327)</f>
        <v>1</v>
      </c>
      <c r="AQ327" s="1979">
        <f>IF(Construction!$F$31=Construction!$R$22,Oeko!DD327,Oeko!FQ327)</f>
        <v>1</v>
      </c>
      <c r="AR327" s="1998">
        <f>IF(Construction!$F$31=Construction!$R$22,Oeko!DE327,Oeko!FR327)</f>
        <v>8.0488597659215451</v>
      </c>
      <c r="AS327" s="1998">
        <f>IF(Construction!$F$31=Construction!$R$22,Oeko!DF327,Oeko!FS327)</f>
        <v>8.0488597659215451</v>
      </c>
      <c r="AT327" s="1998">
        <f>IF(Construction!$F$31=Construction!$R$22,Oeko!DG327,Oeko!FT327)</f>
        <v>8.0488597659215451</v>
      </c>
      <c r="AU327" s="1998">
        <f>IF(Construction!$F$31=Construction!$R$22,Oeko!DH327,Oeko!FU327)</f>
        <v>8.0488597659215451</v>
      </c>
      <c r="AV327" s="1998">
        <f>IF(Construction!$F$31=Construction!$R$22,Oeko!DI327,Oeko!FV327)</f>
        <v>8.0488597659215451</v>
      </c>
      <c r="AW327" s="1979">
        <f>IF(Construction!$F$31=Construction!$R$22,Oeko!DJ327,Oeko!FW327)</f>
        <v>8.0329061668367086</v>
      </c>
      <c r="AX327" s="1979">
        <f>IF(Construction!$F$31=Construction!$R$22,Oeko!DK327,Oeko!FX327)</f>
        <v>8.0329061668367086</v>
      </c>
      <c r="AY327" s="1979">
        <f>IF(Construction!$F$31=Construction!$R$22,Oeko!DL327,Oeko!FY327)</f>
        <v>8.0329061668367086</v>
      </c>
      <c r="AZ327" s="1979">
        <f>IF(Construction!$F$31=Construction!$R$22,Oeko!DM327,Oeko!FZ327)</f>
        <v>8.0329061668367086</v>
      </c>
      <c r="BA327" s="1979">
        <f>IF(Construction!$F$31=Construction!$R$22,Oeko!DN327,Oeko!GA327)</f>
        <v>8.0329061668367086</v>
      </c>
      <c r="BB327" s="1998">
        <f>IF(Construction!$F$31=Construction!$R$22,Oeko!DO327,Oeko!GB327)</f>
        <v>0.97975662301212196</v>
      </c>
      <c r="BC327" s="1998">
        <f>IF(Construction!$F$31=Construction!$R$22,Oeko!DP327,Oeko!GC327)</f>
        <v>0.97975662301212196</v>
      </c>
      <c r="BD327" s="1998">
        <f>IF(Construction!$F$31=Construction!$R$22,Oeko!DQ327,Oeko!GD327)</f>
        <v>0.97975662301212196</v>
      </c>
      <c r="BE327" s="1998">
        <f>IF(Construction!$F$31=Construction!$R$22,Oeko!DR327,Oeko!GE327)</f>
        <v>0.97975662301212196</v>
      </c>
      <c r="BF327" s="1998">
        <f>IF(Construction!$F$31=Construction!$R$22,Oeko!DS327,Oeko!GF327)</f>
        <v>0.97975662301212196</v>
      </c>
      <c r="BG327" s="1979">
        <f>IF(Construction!$F$31=Construction!$R$22,Oeko!DT327,Oeko!GG327)</f>
        <v>0.97614876347816082</v>
      </c>
      <c r="BH327" s="1979">
        <f>IF(Construction!$F$31=Construction!$R$22,Oeko!DU327,Oeko!GH327)</f>
        <v>0.97614876347816082</v>
      </c>
      <c r="BI327" s="1979">
        <f>IF(Construction!$F$31=Construction!$R$22,Oeko!DV327,Oeko!GI327)</f>
        <v>0.97614876347816082</v>
      </c>
      <c r="BJ327" s="1979">
        <f>IF(Construction!$F$31=Construction!$R$22,Oeko!DW327,Oeko!GJ327)</f>
        <v>0.97614876347816082</v>
      </c>
      <c r="BK327" s="2021">
        <f>IF(Construction!$F$31=Construction!$R$22,Oeko!DX327,Oeko!GK327)</f>
        <v>0.97614876347816082</v>
      </c>
      <c r="BN327" s="2022"/>
      <c r="BO327" s="2">
        <v>21</v>
      </c>
      <c r="BP327" s="2" t="str">
        <f>CONCATENATE($U$8," ",$V$18)</f>
        <v>Proportion de fenêtres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Proportion de fenêtres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Proportion de fenêtres 90</v>
      </c>
      <c r="D328" s="1998">
        <f>IF(Construction!$F$31=Construction!$R$22,Oeko!BQ328,Oeko!ED328)</f>
        <v>1.09375</v>
      </c>
      <c r="E328" s="1998">
        <f>IF(Construction!$F$31=Construction!$R$22,Oeko!BR328,Oeko!EE328)</f>
        <v>1</v>
      </c>
      <c r="F328" s="1998">
        <f>IF(Construction!$F$31=Construction!$R$22,Oeko!BS328,Oeko!EF328)</f>
        <v>1</v>
      </c>
      <c r="G328" s="1998">
        <f>IF(Construction!$F$31=Construction!$R$22,Oeko!BT328,Oeko!EG328)</f>
        <v>1</v>
      </c>
      <c r="H328" s="1998">
        <f>IF(Construction!$F$31=Construction!$R$22,Oeko!BU328,Oeko!EH328)</f>
        <v>1</v>
      </c>
      <c r="I328" s="1979">
        <f>IF(Construction!$F$31=Construction!$R$22,Oeko!BV328,Oeko!EI328)</f>
        <v>1</v>
      </c>
      <c r="J328" s="1979">
        <f>IF(Construction!$F$31=Construction!$R$22,Oeko!BW328,Oeko!EJ328)</f>
        <v>1</v>
      </c>
      <c r="K328" s="1979">
        <f>IF(Construction!$F$31=Construction!$R$22,Oeko!BX328,Oeko!EK328)</f>
        <v>1</v>
      </c>
      <c r="L328" s="1979">
        <f>IF(Construction!$F$31=Construction!$R$22,Oeko!BY328,Oeko!EL328)</f>
        <v>1</v>
      </c>
      <c r="M328" s="1979">
        <f>IF(Construction!$F$31=Construction!$R$22,Oeko!BZ328,Oeko!EM328)</f>
        <v>1</v>
      </c>
      <c r="N328" s="1998">
        <f>IF(Construction!$F$31=Construction!$R$22,Oeko!CA328,Oeko!EN328)</f>
        <v>1</v>
      </c>
      <c r="O328" s="1998">
        <f>IF(Construction!$F$31=Construction!$R$22,Oeko!CB328,Oeko!EO328)</f>
        <v>1</v>
      </c>
      <c r="P328" s="1998">
        <f>IF(Construction!$F$31=Construction!$R$22,Oeko!CC328,Oeko!EP328)</f>
        <v>1</v>
      </c>
      <c r="Q328" s="1998">
        <f>IF(Construction!$F$31=Construction!$R$22,Oeko!CD328,Oeko!EQ328)</f>
        <v>1</v>
      </c>
      <c r="R328" s="1998">
        <f>IF(Construction!$F$31=Construction!$R$22,Oeko!CE328,Oeko!ER328)</f>
        <v>1</v>
      </c>
      <c r="S328" s="1979">
        <f>IF(Construction!$F$31=Construction!$R$22,Oeko!CF328,Oeko!ES328)</f>
        <v>1</v>
      </c>
      <c r="T328" s="1979">
        <f>IF(Construction!$F$31=Construction!$R$22,Oeko!CG328,Oeko!ET328)</f>
        <v>1</v>
      </c>
      <c r="U328" s="1979">
        <f>IF(Construction!$F$31=Construction!$R$22,Oeko!CH328,Oeko!EU328)</f>
        <v>1</v>
      </c>
      <c r="V328" s="1979">
        <f>IF(Construction!$F$31=Construction!$R$22,Oeko!CI328,Oeko!EV328)</f>
        <v>1</v>
      </c>
      <c r="W328" s="1979">
        <f>IF(Construction!$F$31=Construction!$R$22,Oeko!CJ328,Oeko!EW328)</f>
        <v>1</v>
      </c>
      <c r="X328" s="1998">
        <f>IF(Construction!$F$31=Construction!$R$22,Oeko!CK328,Oeko!EX328)</f>
        <v>1</v>
      </c>
      <c r="Y328" s="1998">
        <f>IF(Construction!$F$31=Construction!$R$22,Oeko!CL328,Oeko!EY328)</f>
        <v>1</v>
      </c>
      <c r="Z328" s="1998">
        <f>IF(Construction!$F$31=Construction!$R$22,Oeko!CM328,Oeko!EZ328)</f>
        <v>1</v>
      </c>
      <c r="AA328" s="1998">
        <f>IF(Construction!$F$31=Construction!$R$22,Oeko!CN328,Oeko!FA328)</f>
        <v>1</v>
      </c>
      <c r="AB328" s="1998">
        <f>IF(Construction!$F$31=Construction!$R$22,Oeko!CO328,Oeko!FB328)</f>
        <v>1</v>
      </c>
      <c r="AC328" s="1979">
        <f>IF(Construction!$F$31=Construction!$R$22,Oeko!CP328,Oeko!FC328)</f>
        <v>1</v>
      </c>
      <c r="AD328" s="1979">
        <f>IF(Construction!$F$31=Construction!$R$22,Oeko!CQ328,Oeko!FD328)</f>
        <v>1</v>
      </c>
      <c r="AE328" s="1979">
        <f>IF(Construction!$F$31=Construction!$R$22,Oeko!CR328,Oeko!FE328)</f>
        <v>1</v>
      </c>
      <c r="AF328" s="1979">
        <f>IF(Construction!$F$31=Construction!$R$22,Oeko!CS328,Oeko!FF328)</f>
        <v>1</v>
      </c>
      <c r="AG328" s="1979">
        <f>IF(Construction!$F$31=Construction!$R$22,Oeko!CT328,Oeko!FG328)</f>
        <v>1</v>
      </c>
      <c r="AH328" s="1998">
        <f>IF(Construction!$F$31=Construction!$R$22,Oeko!CU328,Oeko!FH328)</f>
        <v>1</v>
      </c>
      <c r="AI328" s="1998">
        <f>IF(Construction!$F$31=Construction!$R$22,Oeko!CV328,Oeko!FI328)</f>
        <v>1</v>
      </c>
      <c r="AJ328" s="1998">
        <f>IF(Construction!$F$31=Construction!$R$22,Oeko!CW328,Oeko!FJ328)</f>
        <v>1</v>
      </c>
      <c r="AK328" s="1998">
        <f>IF(Construction!$F$31=Construction!$R$22,Oeko!CX328,Oeko!FK328)</f>
        <v>1</v>
      </c>
      <c r="AL328" s="1998">
        <f>IF(Construction!$F$31=Construction!$R$22,Oeko!CY328,Oeko!FL328)</f>
        <v>1</v>
      </c>
      <c r="AM328" s="1979">
        <f>IF(Construction!$F$31=Construction!$R$22,Oeko!CZ328,Oeko!FM328)</f>
        <v>1</v>
      </c>
      <c r="AN328" s="1979">
        <f>IF(Construction!$F$31=Construction!$R$22,Oeko!DA328,Oeko!FN328)</f>
        <v>1</v>
      </c>
      <c r="AO328" s="1979">
        <f>IF(Construction!$F$31=Construction!$R$22,Oeko!DB328,Oeko!FO328)</f>
        <v>1</v>
      </c>
      <c r="AP328" s="1979">
        <f>IF(Construction!$F$31=Construction!$R$22,Oeko!DC328,Oeko!FP328)</f>
        <v>1</v>
      </c>
      <c r="AQ328" s="1979">
        <f>IF(Construction!$F$31=Construction!$R$22,Oeko!DD328,Oeko!FQ328)</f>
        <v>1</v>
      </c>
      <c r="AR328" s="1998">
        <f>IF(Construction!$F$31=Construction!$R$22,Oeko!DE328,Oeko!FR328)</f>
        <v>8.0488597659215451</v>
      </c>
      <c r="AS328" s="1998">
        <f>IF(Construction!$F$31=Construction!$R$22,Oeko!DF328,Oeko!FS328)</f>
        <v>8.0488597659215451</v>
      </c>
      <c r="AT328" s="1998">
        <f>IF(Construction!$F$31=Construction!$R$22,Oeko!DG328,Oeko!FT328)</f>
        <v>8.0488597659215451</v>
      </c>
      <c r="AU328" s="1998">
        <f>IF(Construction!$F$31=Construction!$R$22,Oeko!DH328,Oeko!FU328)</f>
        <v>8.0488597659215451</v>
      </c>
      <c r="AV328" s="1998">
        <f>IF(Construction!$F$31=Construction!$R$22,Oeko!DI328,Oeko!FV328)</f>
        <v>8.0488597659215451</v>
      </c>
      <c r="AW328" s="1979">
        <f>IF(Construction!$F$31=Construction!$R$22,Oeko!DJ328,Oeko!FW328)</f>
        <v>8.0329061668367086</v>
      </c>
      <c r="AX328" s="1979">
        <f>IF(Construction!$F$31=Construction!$R$22,Oeko!DK328,Oeko!FX328)</f>
        <v>8.0329061668367086</v>
      </c>
      <c r="AY328" s="1979">
        <f>IF(Construction!$F$31=Construction!$R$22,Oeko!DL328,Oeko!FY328)</f>
        <v>8.0329061668367086</v>
      </c>
      <c r="AZ328" s="1979">
        <f>IF(Construction!$F$31=Construction!$R$22,Oeko!DM328,Oeko!FZ328)</f>
        <v>8.0329061668367086</v>
      </c>
      <c r="BA328" s="1979">
        <f>IF(Construction!$F$31=Construction!$R$22,Oeko!DN328,Oeko!GA328)</f>
        <v>8.0329061668367086</v>
      </c>
      <c r="BB328" s="1998">
        <f>IF(Construction!$F$31=Construction!$R$22,Oeko!DO328,Oeko!GB328)</f>
        <v>0.97975662301212196</v>
      </c>
      <c r="BC328" s="1998">
        <f>IF(Construction!$F$31=Construction!$R$22,Oeko!DP328,Oeko!GC328)</f>
        <v>0.97975662301212196</v>
      </c>
      <c r="BD328" s="1998">
        <f>IF(Construction!$F$31=Construction!$R$22,Oeko!DQ328,Oeko!GD328)</f>
        <v>0.97975662301212196</v>
      </c>
      <c r="BE328" s="1998">
        <f>IF(Construction!$F$31=Construction!$R$22,Oeko!DR328,Oeko!GE328)</f>
        <v>0.97975662301212196</v>
      </c>
      <c r="BF328" s="1998">
        <f>IF(Construction!$F$31=Construction!$R$22,Oeko!DS328,Oeko!GF328)</f>
        <v>0.97975662301212196</v>
      </c>
      <c r="BG328" s="1979">
        <f>IF(Construction!$F$31=Construction!$R$22,Oeko!DT328,Oeko!GG328)</f>
        <v>0.97614876347816082</v>
      </c>
      <c r="BH328" s="1979">
        <f>IF(Construction!$F$31=Construction!$R$22,Oeko!DU328,Oeko!GH328)</f>
        <v>0.97614876347816082</v>
      </c>
      <c r="BI328" s="1979">
        <f>IF(Construction!$F$31=Construction!$R$22,Oeko!DV328,Oeko!GI328)</f>
        <v>0.97614876347816082</v>
      </c>
      <c r="BJ328" s="1979">
        <f>IF(Construction!$F$31=Construction!$R$22,Oeko!DW328,Oeko!GJ328)</f>
        <v>0.97614876347816082</v>
      </c>
      <c r="BK328" s="2021">
        <f>IF(Construction!$F$31=Construction!$R$22,Oeko!DX328,Oeko!GK328)</f>
        <v>0.97614876347816082</v>
      </c>
      <c r="BN328" s="2022"/>
      <c r="BO328" s="2">
        <v>22</v>
      </c>
      <c r="BP328" s="2" t="str">
        <f>CONCATENATE($U$8," ",$V$19)</f>
        <v>Proportion de fenêtres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Proportion de fenêtres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Proportion de fenêtres 100</v>
      </c>
      <c r="D329" s="1998">
        <f>IF(Construction!$F$31=Construction!$R$22,Oeko!BQ329,Oeko!ED329)</f>
        <v>1.09375</v>
      </c>
      <c r="E329" s="1998">
        <f>IF(Construction!$F$31=Construction!$R$22,Oeko!BR329,Oeko!EE329)</f>
        <v>1</v>
      </c>
      <c r="F329" s="1998">
        <f>IF(Construction!$F$31=Construction!$R$22,Oeko!BS329,Oeko!EF329)</f>
        <v>1</v>
      </c>
      <c r="G329" s="1998">
        <f>IF(Construction!$F$31=Construction!$R$22,Oeko!BT329,Oeko!EG329)</f>
        <v>1</v>
      </c>
      <c r="H329" s="1998">
        <f>IF(Construction!$F$31=Construction!$R$22,Oeko!BU329,Oeko!EH329)</f>
        <v>1</v>
      </c>
      <c r="I329" s="1979">
        <f>IF(Construction!$F$31=Construction!$R$22,Oeko!BV329,Oeko!EI329)</f>
        <v>1</v>
      </c>
      <c r="J329" s="1979">
        <f>IF(Construction!$F$31=Construction!$R$22,Oeko!BW329,Oeko!EJ329)</f>
        <v>1</v>
      </c>
      <c r="K329" s="1979">
        <f>IF(Construction!$F$31=Construction!$R$22,Oeko!BX329,Oeko!EK329)</f>
        <v>1</v>
      </c>
      <c r="L329" s="1979">
        <f>IF(Construction!$F$31=Construction!$R$22,Oeko!BY329,Oeko!EL329)</f>
        <v>1</v>
      </c>
      <c r="M329" s="1979">
        <f>IF(Construction!$F$31=Construction!$R$22,Oeko!BZ329,Oeko!EM329)</f>
        <v>1</v>
      </c>
      <c r="N329" s="1998">
        <f>IF(Construction!$F$31=Construction!$R$22,Oeko!CA329,Oeko!EN329)</f>
        <v>1</v>
      </c>
      <c r="O329" s="1998">
        <f>IF(Construction!$F$31=Construction!$R$22,Oeko!CB329,Oeko!EO329)</f>
        <v>1</v>
      </c>
      <c r="P329" s="1998">
        <f>IF(Construction!$F$31=Construction!$R$22,Oeko!CC329,Oeko!EP329)</f>
        <v>1</v>
      </c>
      <c r="Q329" s="1998">
        <f>IF(Construction!$F$31=Construction!$R$22,Oeko!CD329,Oeko!EQ329)</f>
        <v>1</v>
      </c>
      <c r="R329" s="1998">
        <f>IF(Construction!$F$31=Construction!$R$22,Oeko!CE329,Oeko!ER329)</f>
        <v>1</v>
      </c>
      <c r="S329" s="1979">
        <f>IF(Construction!$F$31=Construction!$R$22,Oeko!CF329,Oeko!ES329)</f>
        <v>1</v>
      </c>
      <c r="T329" s="1979">
        <f>IF(Construction!$F$31=Construction!$R$22,Oeko!CG329,Oeko!ET329)</f>
        <v>1</v>
      </c>
      <c r="U329" s="1979">
        <f>IF(Construction!$F$31=Construction!$R$22,Oeko!CH329,Oeko!EU329)</f>
        <v>1</v>
      </c>
      <c r="V329" s="1979">
        <f>IF(Construction!$F$31=Construction!$R$22,Oeko!CI329,Oeko!EV329)</f>
        <v>1</v>
      </c>
      <c r="W329" s="1979">
        <f>IF(Construction!$F$31=Construction!$R$22,Oeko!CJ329,Oeko!EW329)</f>
        <v>1</v>
      </c>
      <c r="X329" s="1998">
        <f>IF(Construction!$F$31=Construction!$R$22,Oeko!CK329,Oeko!EX329)</f>
        <v>1</v>
      </c>
      <c r="Y329" s="1998">
        <f>IF(Construction!$F$31=Construction!$R$22,Oeko!CL329,Oeko!EY329)</f>
        <v>1</v>
      </c>
      <c r="Z329" s="1998">
        <f>IF(Construction!$F$31=Construction!$R$22,Oeko!CM329,Oeko!EZ329)</f>
        <v>1</v>
      </c>
      <c r="AA329" s="1998">
        <f>IF(Construction!$F$31=Construction!$R$22,Oeko!CN329,Oeko!FA329)</f>
        <v>1</v>
      </c>
      <c r="AB329" s="1998">
        <f>IF(Construction!$F$31=Construction!$R$22,Oeko!CO329,Oeko!FB329)</f>
        <v>1</v>
      </c>
      <c r="AC329" s="1979">
        <f>IF(Construction!$F$31=Construction!$R$22,Oeko!CP329,Oeko!FC329)</f>
        <v>1</v>
      </c>
      <c r="AD329" s="1979">
        <f>IF(Construction!$F$31=Construction!$R$22,Oeko!CQ329,Oeko!FD329)</f>
        <v>1</v>
      </c>
      <c r="AE329" s="1979">
        <f>IF(Construction!$F$31=Construction!$R$22,Oeko!CR329,Oeko!FE329)</f>
        <v>1</v>
      </c>
      <c r="AF329" s="1979">
        <f>IF(Construction!$F$31=Construction!$R$22,Oeko!CS329,Oeko!FF329)</f>
        <v>1</v>
      </c>
      <c r="AG329" s="1979">
        <f>IF(Construction!$F$31=Construction!$R$22,Oeko!CT329,Oeko!FG329)</f>
        <v>1</v>
      </c>
      <c r="AH329" s="1998">
        <f>IF(Construction!$F$31=Construction!$R$22,Oeko!CU329,Oeko!FH329)</f>
        <v>1</v>
      </c>
      <c r="AI329" s="1998">
        <f>IF(Construction!$F$31=Construction!$R$22,Oeko!CV329,Oeko!FI329)</f>
        <v>1</v>
      </c>
      <c r="AJ329" s="1998">
        <f>IF(Construction!$F$31=Construction!$R$22,Oeko!CW329,Oeko!FJ329)</f>
        <v>1</v>
      </c>
      <c r="AK329" s="1998">
        <f>IF(Construction!$F$31=Construction!$R$22,Oeko!CX329,Oeko!FK329)</f>
        <v>1</v>
      </c>
      <c r="AL329" s="1998">
        <f>IF(Construction!$F$31=Construction!$R$22,Oeko!CY329,Oeko!FL329)</f>
        <v>1</v>
      </c>
      <c r="AM329" s="1979">
        <f>IF(Construction!$F$31=Construction!$R$22,Oeko!CZ329,Oeko!FM329)</f>
        <v>1</v>
      </c>
      <c r="AN329" s="1979">
        <f>IF(Construction!$F$31=Construction!$R$22,Oeko!DA329,Oeko!FN329)</f>
        <v>1</v>
      </c>
      <c r="AO329" s="1979">
        <f>IF(Construction!$F$31=Construction!$R$22,Oeko!DB329,Oeko!FO329)</f>
        <v>1</v>
      </c>
      <c r="AP329" s="1979">
        <f>IF(Construction!$F$31=Construction!$R$22,Oeko!DC329,Oeko!FP329)</f>
        <v>1</v>
      </c>
      <c r="AQ329" s="1979">
        <f>IF(Construction!$F$31=Construction!$R$22,Oeko!DD329,Oeko!FQ329)</f>
        <v>1</v>
      </c>
      <c r="AR329" s="1998">
        <f>IF(Construction!$F$31=Construction!$R$22,Oeko!DE329,Oeko!FR329)</f>
        <v>8.0488597659215451</v>
      </c>
      <c r="AS329" s="1998">
        <f>IF(Construction!$F$31=Construction!$R$22,Oeko!DF329,Oeko!FS329)</f>
        <v>8.0488597659215451</v>
      </c>
      <c r="AT329" s="1998">
        <f>IF(Construction!$F$31=Construction!$R$22,Oeko!DG329,Oeko!FT329)</f>
        <v>8.0488597659215451</v>
      </c>
      <c r="AU329" s="1998">
        <f>IF(Construction!$F$31=Construction!$R$22,Oeko!DH329,Oeko!FU329)</f>
        <v>8.0488597659215451</v>
      </c>
      <c r="AV329" s="1998">
        <f>IF(Construction!$F$31=Construction!$R$22,Oeko!DI329,Oeko!FV329)</f>
        <v>8.0488597659215451</v>
      </c>
      <c r="AW329" s="1979">
        <f>IF(Construction!$F$31=Construction!$R$22,Oeko!DJ329,Oeko!FW329)</f>
        <v>8.0329061668367086</v>
      </c>
      <c r="AX329" s="1979">
        <f>IF(Construction!$F$31=Construction!$R$22,Oeko!DK329,Oeko!FX329)</f>
        <v>8.0329061668367086</v>
      </c>
      <c r="AY329" s="1979">
        <f>IF(Construction!$F$31=Construction!$R$22,Oeko!DL329,Oeko!FY329)</f>
        <v>8.0329061668367086</v>
      </c>
      <c r="AZ329" s="1979">
        <f>IF(Construction!$F$31=Construction!$R$22,Oeko!DM329,Oeko!FZ329)</f>
        <v>8.0329061668367086</v>
      </c>
      <c r="BA329" s="1979">
        <f>IF(Construction!$F$31=Construction!$R$22,Oeko!DN329,Oeko!GA329)</f>
        <v>8.0329061668367086</v>
      </c>
      <c r="BB329" s="1998">
        <f>IF(Construction!$F$31=Construction!$R$22,Oeko!DO329,Oeko!GB329)</f>
        <v>0.97975662301212196</v>
      </c>
      <c r="BC329" s="1998">
        <f>IF(Construction!$F$31=Construction!$R$22,Oeko!DP329,Oeko!GC329)</f>
        <v>0.97975662301212196</v>
      </c>
      <c r="BD329" s="1998">
        <f>IF(Construction!$F$31=Construction!$R$22,Oeko!DQ329,Oeko!GD329)</f>
        <v>0.97975662301212196</v>
      </c>
      <c r="BE329" s="1998">
        <f>IF(Construction!$F$31=Construction!$R$22,Oeko!DR329,Oeko!GE329)</f>
        <v>0.97975662301212196</v>
      </c>
      <c r="BF329" s="1998">
        <f>IF(Construction!$F$31=Construction!$R$22,Oeko!DS329,Oeko!GF329)</f>
        <v>0.97975662301212196</v>
      </c>
      <c r="BG329" s="1979">
        <f>IF(Construction!$F$31=Construction!$R$22,Oeko!DT329,Oeko!GG329)</f>
        <v>0.97614876347816082</v>
      </c>
      <c r="BH329" s="1979">
        <f>IF(Construction!$F$31=Construction!$R$22,Oeko!DU329,Oeko!GH329)</f>
        <v>0.97614876347816082</v>
      </c>
      <c r="BI329" s="1979">
        <f>IF(Construction!$F$31=Construction!$R$22,Oeko!DV329,Oeko!GI329)</f>
        <v>0.97614876347816082</v>
      </c>
      <c r="BJ329" s="1979">
        <f>IF(Construction!$F$31=Construction!$R$22,Oeko!DW329,Oeko!GJ329)</f>
        <v>0.97614876347816082</v>
      </c>
      <c r="BK329" s="2021">
        <f>IF(Construction!$F$31=Construction!$R$22,Oeko!DX329,Oeko!GK329)</f>
        <v>0.97614876347816082</v>
      </c>
      <c r="BN329" s="2022"/>
      <c r="BO329" s="2">
        <v>23</v>
      </c>
      <c r="BP329" s="2" t="str">
        <f>CONCATENATE($U$8," ",$V$20)</f>
        <v>Proportion de fenêtres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Proportion de fenêtres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IF(Construction!$F$31=Construction!$R$22,Oeko!BQ330,Oeko!ED330)</f>
        <v>1</v>
      </c>
      <c r="E330" s="1998">
        <f>IF(Construction!$F$31=Construction!$R$22,Oeko!BR330,Oeko!EE330)</f>
        <v>1</v>
      </c>
      <c r="F330" s="1998">
        <f>IF(Construction!$F$31=Construction!$R$22,Oeko!BS330,Oeko!EF330)</f>
        <v>1</v>
      </c>
      <c r="G330" s="1998">
        <f>IF(Construction!$F$31=Construction!$R$22,Oeko!BT330,Oeko!EG330)</f>
        <v>1</v>
      </c>
      <c r="H330" s="1998">
        <f>IF(Construction!$F$31=Construction!$R$22,Oeko!BU330,Oeko!EH330)</f>
        <v>1</v>
      </c>
      <c r="I330" s="1979">
        <f>IF(Construction!$F$31=Construction!$R$22,Oeko!BV330,Oeko!EI330)</f>
        <v>1</v>
      </c>
      <c r="J330" s="1979">
        <f>IF(Construction!$F$31=Construction!$R$22,Oeko!BW330,Oeko!EJ330)</f>
        <v>1</v>
      </c>
      <c r="K330" s="1979">
        <f>IF(Construction!$F$31=Construction!$R$22,Oeko!BX330,Oeko!EK330)</f>
        <v>1</v>
      </c>
      <c r="L330" s="1979">
        <f>IF(Construction!$F$31=Construction!$R$22,Oeko!BY330,Oeko!EL330)</f>
        <v>1</v>
      </c>
      <c r="M330" s="1979">
        <f>IF(Construction!$F$31=Construction!$R$22,Oeko!BZ330,Oeko!EM330)</f>
        <v>1</v>
      </c>
      <c r="N330" s="1998">
        <f>IF(Construction!$F$31=Construction!$R$22,Oeko!CA330,Oeko!EN330)</f>
        <v>1.0000000000000002</v>
      </c>
      <c r="O330" s="1998">
        <f>IF(Construction!$F$31=Construction!$R$22,Oeko!CB330,Oeko!EO330)</f>
        <v>1.0000000000000002</v>
      </c>
      <c r="P330" s="1998">
        <f>IF(Construction!$F$31=Construction!$R$22,Oeko!CC330,Oeko!EP330)</f>
        <v>1.0000000000000002</v>
      </c>
      <c r="Q330" s="1998">
        <f>IF(Construction!$F$31=Construction!$R$22,Oeko!CD330,Oeko!EQ330)</f>
        <v>1.0000000000000002</v>
      </c>
      <c r="R330" s="1998">
        <f>IF(Construction!$F$31=Construction!$R$22,Oeko!CE330,Oeko!ER330)</f>
        <v>1.0000000000000002</v>
      </c>
      <c r="S330" s="1979">
        <f>IF(Construction!$F$31=Construction!$R$22,Oeko!CF330,Oeko!ES330)</f>
        <v>1</v>
      </c>
      <c r="T330" s="1979">
        <f>IF(Construction!$F$31=Construction!$R$22,Oeko!CG330,Oeko!ET330)</f>
        <v>1</v>
      </c>
      <c r="U330" s="1979">
        <f>IF(Construction!$F$31=Construction!$R$22,Oeko!CH330,Oeko!EU330)</f>
        <v>1</v>
      </c>
      <c r="V330" s="1979">
        <f>IF(Construction!$F$31=Construction!$R$22,Oeko!CI330,Oeko!EV330)</f>
        <v>1</v>
      </c>
      <c r="W330" s="1979">
        <f>IF(Construction!$F$31=Construction!$R$22,Oeko!CJ330,Oeko!EW330)</f>
        <v>1</v>
      </c>
      <c r="X330" s="1998">
        <f>IF(Construction!$F$31=Construction!$R$22,Oeko!CK330,Oeko!EX330)</f>
        <v>1</v>
      </c>
      <c r="Y330" s="1998">
        <f>IF(Construction!$F$31=Construction!$R$22,Oeko!CL330,Oeko!EY330)</f>
        <v>1</v>
      </c>
      <c r="Z330" s="1998">
        <f>IF(Construction!$F$31=Construction!$R$22,Oeko!CM330,Oeko!EZ330)</f>
        <v>1</v>
      </c>
      <c r="AA330" s="1998">
        <f>IF(Construction!$F$31=Construction!$R$22,Oeko!CN330,Oeko!FA330)</f>
        <v>1</v>
      </c>
      <c r="AB330" s="1998">
        <f>IF(Construction!$F$31=Construction!$R$22,Oeko!CO330,Oeko!FB330)</f>
        <v>1</v>
      </c>
      <c r="AC330" s="1979">
        <f>IF(Construction!$F$31=Construction!$R$22,Oeko!CP330,Oeko!FC330)</f>
        <v>1</v>
      </c>
      <c r="AD330" s="1979">
        <f>IF(Construction!$F$31=Construction!$R$22,Oeko!CQ330,Oeko!FD330)</f>
        <v>1</v>
      </c>
      <c r="AE330" s="1979">
        <f>IF(Construction!$F$31=Construction!$R$22,Oeko!CR330,Oeko!FE330)</f>
        <v>1</v>
      </c>
      <c r="AF330" s="1979">
        <f>IF(Construction!$F$31=Construction!$R$22,Oeko!CS330,Oeko!FF330)</f>
        <v>1</v>
      </c>
      <c r="AG330" s="1979">
        <f>IF(Construction!$F$31=Construction!$R$22,Oeko!CT330,Oeko!FG330)</f>
        <v>1</v>
      </c>
      <c r="AH330" s="1998">
        <f>IF(Construction!$F$31=Construction!$R$22,Oeko!CU330,Oeko!FH330)</f>
        <v>1</v>
      </c>
      <c r="AI330" s="1998">
        <f>IF(Construction!$F$31=Construction!$R$22,Oeko!CV330,Oeko!FI330)</f>
        <v>1</v>
      </c>
      <c r="AJ330" s="1998">
        <f>IF(Construction!$F$31=Construction!$R$22,Oeko!CW330,Oeko!FJ330)</f>
        <v>1</v>
      </c>
      <c r="AK330" s="1998">
        <f>IF(Construction!$F$31=Construction!$R$22,Oeko!CX330,Oeko!FK330)</f>
        <v>1</v>
      </c>
      <c r="AL330" s="1998">
        <f>IF(Construction!$F$31=Construction!$R$22,Oeko!CY330,Oeko!FL330)</f>
        <v>1</v>
      </c>
      <c r="AM330" s="1979">
        <f>IF(Construction!$F$31=Construction!$R$22,Oeko!CZ330,Oeko!FM330)</f>
        <v>0.66666666666666663</v>
      </c>
      <c r="AN330" s="1979">
        <f>IF(Construction!$F$31=Construction!$R$22,Oeko!DA330,Oeko!FN330)</f>
        <v>0.66666666666666663</v>
      </c>
      <c r="AO330" s="1979">
        <f>IF(Construction!$F$31=Construction!$R$22,Oeko!DB330,Oeko!FO330)</f>
        <v>0.66666666666666663</v>
      </c>
      <c r="AP330" s="1979">
        <f>IF(Construction!$F$31=Construction!$R$22,Oeko!DC330,Oeko!FP330)</f>
        <v>0.66666666666666663</v>
      </c>
      <c r="AQ330" s="1979">
        <f>IF(Construction!$F$31=Construction!$R$22,Oeko!DD330,Oeko!FQ330)</f>
        <v>0.66666666666666663</v>
      </c>
      <c r="AR330" s="1998">
        <f>IF(Construction!$F$31=Construction!$R$22,Oeko!DE330,Oeko!FR330)</f>
        <v>8.1914540462959007</v>
      </c>
      <c r="AS330" s="1998">
        <f>IF(Construction!$F$31=Construction!$R$22,Oeko!DF330,Oeko!FS330)</f>
        <v>8.1914540462959007</v>
      </c>
      <c r="AT330" s="1998">
        <f>IF(Construction!$F$31=Construction!$R$22,Oeko!DG330,Oeko!FT330)</f>
        <v>8.1914540462959007</v>
      </c>
      <c r="AU330" s="1998">
        <f>IF(Construction!$F$31=Construction!$R$22,Oeko!DH330,Oeko!FU330)</f>
        <v>8.1914540462959007</v>
      </c>
      <c r="AV330" s="1998">
        <f>IF(Construction!$F$31=Construction!$R$22,Oeko!DI330,Oeko!FV330)</f>
        <v>8.1914540462959007</v>
      </c>
      <c r="AW330" s="1979">
        <f>IF(Construction!$F$31=Construction!$R$22,Oeko!DJ330,Oeko!FW330)</f>
        <v>8.1771999062029916</v>
      </c>
      <c r="AX330" s="1979">
        <f>IF(Construction!$F$31=Construction!$R$22,Oeko!DK330,Oeko!FX330)</f>
        <v>8.1771999062029916</v>
      </c>
      <c r="AY330" s="1979">
        <f>IF(Construction!$F$31=Construction!$R$22,Oeko!DL330,Oeko!FY330)</f>
        <v>8.1771999062029916</v>
      </c>
      <c r="AZ330" s="1979">
        <f>IF(Construction!$F$31=Construction!$R$22,Oeko!DM330,Oeko!FZ330)</f>
        <v>8.1771999062029916</v>
      </c>
      <c r="BA330" s="1979">
        <f>IF(Construction!$F$31=Construction!$R$22,Oeko!DN330,Oeko!GA330)</f>
        <v>8.1771999062029916</v>
      </c>
      <c r="BB330" s="1998">
        <f>IF(Construction!$F$31=Construction!$R$22,Oeko!DO330,Oeko!GB330)</f>
        <v>1</v>
      </c>
      <c r="BC330" s="1998">
        <f>IF(Construction!$F$31=Construction!$R$22,Oeko!DP330,Oeko!GC330)</f>
        <v>1</v>
      </c>
      <c r="BD330" s="1998">
        <f>IF(Construction!$F$31=Construction!$R$22,Oeko!DQ330,Oeko!GD330)</f>
        <v>1</v>
      </c>
      <c r="BE330" s="1998">
        <f>IF(Construction!$F$31=Construction!$R$22,Oeko!DR330,Oeko!GE330)</f>
        <v>1</v>
      </c>
      <c r="BF330" s="1998">
        <f>IF(Construction!$F$31=Construction!$R$22,Oeko!DS330,Oeko!GF330)</f>
        <v>1</v>
      </c>
      <c r="BG330" s="1979">
        <f>IF(Construction!$F$31=Construction!$R$22,Oeko!DT330,Oeko!GG330)</f>
        <v>1</v>
      </c>
      <c r="BH330" s="1979">
        <f>IF(Construction!$F$31=Construction!$R$22,Oeko!DU330,Oeko!GH330)</f>
        <v>1</v>
      </c>
      <c r="BI330" s="1979">
        <f>IF(Construction!$F$31=Construction!$R$22,Oeko!DV330,Oeko!GI330)</f>
        <v>1</v>
      </c>
      <c r="BJ330" s="1979">
        <f>IF(Construction!$F$31=Construction!$R$22,Oeko!DW330,Oeko!GJ330)</f>
        <v>1</v>
      </c>
      <c r="BK330" s="2021">
        <f>IF(Construction!$F$31=Construction!$R$22,Oeko!DX330,Oeko!GK330)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IF(Construction!$F$31=Construction!$R$22,Oeko!BQ331,Oeko!ED331)</f>
        <v>1</v>
      </c>
      <c r="E331" s="1998">
        <f>IF(Construction!$F$31=Construction!$R$22,Oeko!BR331,Oeko!EE331)</f>
        <v>1</v>
      </c>
      <c r="F331" s="1998">
        <f>IF(Construction!$F$31=Construction!$R$22,Oeko!BS331,Oeko!EF331)</f>
        <v>1</v>
      </c>
      <c r="G331" s="1998">
        <f>IF(Construction!$F$31=Construction!$R$22,Oeko!BT331,Oeko!EG331)</f>
        <v>1</v>
      </c>
      <c r="H331" s="1998">
        <f>IF(Construction!$F$31=Construction!$R$22,Oeko!BU331,Oeko!EH331)</f>
        <v>1</v>
      </c>
      <c r="I331" s="1979">
        <f>IF(Construction!$F$31=Construction!$R$22,Oeko!BV331,Oeko!EI331)</f>
        <v>1</v>
      </c>
      <c r="J331" s="1979">
        <f>IF(Construction!$F$31=Construction!$R$22,Oeko!BW331,Oeko!EJ331)</f>
        <v>1</v>
      </c>
      <c r="K331" s="1979">
        <f>IF(Construction!$F$31=Construction!$R$22,Oeko!BX331,Oeko!EK331)</f>
        <v>1</v>
      </c>
      <c r="L331" s="1979">
        <f>IF(Construction!$F$31=Construction!$R$22,Oeko!BY331,Oeko!EL331)</f>
        <v>1</v>
      </c>
      <c r="M331" s="1979">
        <f>IF(Construction!$F$31=Construction!$R$22,Oeko!BZ331,Oeko!EM331)</f>
        <v>1</v>
      </c>
      <c r="N331" s="1998">
        <f>IF(Construction!$F$31=Construction!$R$22,Oeko!CA331,Oeko!EN331)</f>
        <v>1</v>
      </c>
      <c r="O331" s="1998">
        <f>IF(Construction!$F$31=Construction!$R$22,Oeko!CB331,Oeko!EO331)</f>
        <v>1</v>
      </c>
      <c r="P331" s="1998">
        <f>IF(Construction!$F$31=Construction!$R$22,Oeko!CC331,Oeko!EP331)</f>
        <v>1</v>
      </c>
      <c r="Q331" s="1998">
        <f>IF(Construction!$F$31=Construction!$R$22,Oeko!CD331,Oeko!EQ331)</f>
        <v>1</v>
      </c>
      <c r="R331" s="1998">
        <f>IF(Construction!$F$31=Construction!$R$22,Oeko!CE331,Oeko!ER331)</f>
        <v>1</v>
      </c>
      <c r="S331" s="1979">
        <f>IF(Construction!$F$31=Construction!$R$22,Oeko!CF331,Oeko!ES331)</f>
        <v>1.0000000000000002</v>
      </c>
      <c r="T331" s="1979">
        <f>IF(Construction!$F$31=Construction!$R$22,Oeko!CG331,Oeko!ET331)</f>
        <v>1.0000000000000002</v>
      </c>
      <c r="U331" s="1979">
        <f>IF(Construction!$F$31=Construction!$R$22,Oeko!CH331,Oeko!EU331)</f>
        <v>1.0000000000000002</v>
      </c>
      <c r="V331" s="1979">
        <f>IF(Construction!$F$31=Construction!$R$22,Oeko!CI331,Oeko!EV331)</f>
        <v>1.0000000000000002</v>
      </c>
      <c r="W331" s="1979">
        <f>IF(Construction!$F$31=Construction!$R$22,Oeko!CJ331,Oeko!EW331)</f>
        <v>1.0000000000000002</v>
      </c>
      <c r="X331" s="1998">
        <f>IF(Construction!$F$31=Construction!$R$22,Oeko!CK331,Oeko!EX331)</f>
        <v>1</v>
      </c>
      <c r="Y331" s="1998">
        <f>IF(Construction!$F$31=Construction!$R$22,Oeko!CL331,Oeko!EY331)</f>
        <v>1</v>
      </c>
      <c r="Z331" s="1998">
        <f>IF(Construction!$F$31=Construction!$R$22,Oeko!CM331,Oeko!EZ331)</f>
        <v>1</v>
      </c>
      <c r="AA331" s="1998">
        <f>IF(Construction!$F$31=Construction!$R$22,Oeko!CN331,Oeko!FA331)</f>
        <v>1</v>
      </c>
      <c r="AB331" s="1998">
        <f>IF(Construction!$F$31=Construction!$R$22,Oeko!CO331,Oeko!FB331)</f>
        <v>1</v>
      </c>
      <c r="AC331" s="1979">
        <f>IF(Construction!$F$31=Construction!$R$22,Oeko!CP331,Oeko!FC331)</f>
        <v>1</v>
      </c>
      <c r="AD331" s="1979">
        <f>IF(Construction!$F$31=Construction!$R$22,Oeko!CQ331,Oeko!FD331)</f>
        <v>1</v>
      </c>
      <c r="AE331" s="1979">
        <f>IF(Construction!$F$31=Construction!$R$22,Oeko!CR331,Oeko!FE331)</f>
        <v>1</v>
      </c>
      <c r="AF331" s="1979">
        <f>IF(Construction!$F$31=Construction!$R$22,Oeko!CS331,Oeko!FF331)</f>
        <v>1</v>
      </c>
      <c r="AG331" s="1979">
        <f>IF(Construction!$F$31=Construction!$R$22,Oeko!CT331,Oeko!FG331)</f>
        <v>1</v>
      </c>
      <c r="AH331" s="1998">
        <f>IF(Construction!$F$31=Construction!$R$22,Oeko!CU331,Oeko!FH331)</f>
        <v>1</v>
      </c>
      <c r="AI331" s="1998">
        <f>IF(Construction!$F$31=Construction!$R$22,Oeko!CV331,Oeko!FI331)</f>
        <v>1</v>
      </c>
      <c r="AJ331" s="1998">
        <f>IF(Construction!$F$31=Construction!$R$22,Oeko!CW331,Oeko!FJ331)</f>
        <v>1</v>
      </c>
      <c r="AK331" s="1998">
        <f>IF(Construction!$F$31=Construction!$R$22,Oeko!CX331,Oeko!FK331)</f>
        <v>1</v>
      </c>
      <c r="AL331" s="1998">
        <f>IF(Construction!$F$31=Construction!$R$22,Oeko!CY331,Oeko!FL331)</f>
        <v>1</v>
      </c>
      <c r="AM331" s="1979">
        <f>IF(Construction!$F$31=Construction!$R$22,Oeko!CZ331,Oeko!FM331)</f>
        <v>0.66666666666666663</v>
      </c>
      <c r="AN331" s="1979">
        <f>IF(Construction!$F$31=Construction!$R$22,Oeko!DA331,Oeko!FN331)</f>
        <v>0.66666666666666663</v>
      </c>
      <c r="AO331" s="1979">
        <f>IF(Construction!$F$31=Construction!$R$22,Oeko!DB331,Oeko!FO331)</f>
        <v>0.66666666666666663</v>
      </c>
      <c r="AP331" s="1979">
        <f>IF(Construction!$F$31=Construction!$R$22,Oeko!DC331,Oeko!FP331)</f>
        <v>0.66666666666666663</v>
      </c>
      <c r="AQ331" s="1979">
        <f>IF(Construction!$F$31=Construction!$R$22,Oeko!DD331,Oeko!FQ331)</f>
        <v>0.66666666666666663</v>
      </c>
      <c r="AR331" s="1998">
        <f>IF(Construction!$F$31=Construction!$R$22,Oeko!DE331,Oeko!FR331)</f>
        <v>6.393590534721926</v>
      </c>
      <c r="AS331" s="1998">
        <f>IF(Construction!$F$31=Construction!$R$22,Oeko!DF331,Oeko!FS331)</f>
        <v>6.393590534721926</v>
      </c>
      <c r="AT331" s="1998">
        <f>IF(Construction!$F$31=Construction!$R$22,Oeko!DG331,Oeko!FT331)</f>
        <v>6.393590534721926</v>
      </c>
      <c r="AU331" s="1998">
        <f>IF(Construction!$F$31=Construction!$R$22,Oeko!DH331,Oeko!FU331)</f>
        <v>6.393590534721926</v>
      </c>
      <c r="AV331" s="1998">
        <f>IF(Construction!$F$31=Construction!$R$22,Oeko!DI331,Oeko!FV331)</f>
        <v>6.393590534721926</v>
      </c>
      <c r="AW331" s="1979">
        <f>IF(Construction!$F$31=Construction!$R$22,Oeko!DJ331,Oeko!FW331)</f>
        <v>6.3828999296522442</v>
      </c>
      <c r="AX331" s="1979">
        <f>IF(Construction!$F$31=Construction!$R$22,Oeko!DK331,Oeko!FX331)</f>
        <v>6.3828999296522442</v>
      </c>
      <c r="AY331" s="1979">
        <f>IF(Construction!$F$31=Construction!$R$22,Oeko!DL331,Oeko!FY331)</f>
        <v>6.3828999296522442</v>
      </c>
      <c r="AZ331" s="1979">
        <f>IF(Construction!$F$31=Construction!$R$22,Oeko!DM331,Oeko!FZ331)</f>
        <v>6.3828999296522442</v>
      </c>
      <c r="BA331" s="1979">
        <f>IF(Construction!$F$31=Construction!$R$22,Oeko!DN331,Oeko!GA331)</f>
        <v>6.3828999296522442</v>
      </c>
      <c r="BB331" s="1998">
        <f>IF(Construction!$F$31=Construction!$R$22,Oeko!DO331,Oeko!GB331)</f>
        <v>0.78115301620803501</v>
      </c>
      <c r="BC331" s="1998">
        <f>IF(Construction!$F$31=Construction!$R$22,Oeko!DP331,Oeko!GC331)</f>
        <v>0.78115301620803501</v>
      </c>
      <c r="BD331" s="1998">
        <f>IF(Construction!$F$31=Construction!$R$22,Oeko!DQ331,Oeko!GD331)</f>
        <v>0.78115301620803501</v>
      </c>
      <c r="BE331" s="1998">
        <f>IF(Construction!$F$31=Construction!$R$22,Oeko!DR331,Oeko!GE331)</f>
        <v>0.78115301620803501</v>
      </c>
      <c r="BF331" s="1998">
        <f>IF(Construction!$F$31=Construction!$R$22,Oeko!DS331,Oeko!GF331)</f>
        <v>0.78115301620803501</v>
      </c>
      <c r="BG331" s="1979">
        <f>IF(Construction!$F$31=Construction!$R$22,Oeko!DT331,Oeko!GG331)</f>
        <v>0.78195889917775152</v>
      </c>
      <c r="BH331" s="1979">
        <f>IF(Construction!$F$31=Construction!$R$22,Oeko!DU331,Oeko!GH331)</f>
        <v>0.78195889917775152</v>
      </c>
      <c r="BI331" s="1979">
        <f>IF(Construction!$F$31=Construction!$R$22,Oeko!DV331,Oeko!GI331)</f>
        <v>0.78195889917775152</v>
      </c>
      <c r="BJ331" s="1979">
        <f>IF(Construction!$F$31=Construction!$R$22,Oeko!DW331,Oeko!GJ331)</f>
        <v>0.78195889917775152</v>
      </c>
      <c r="BK331" s="2021">
        <f>IF(Construction!$F$31=Construction!$R$22,Oeko!DX331,Oeko!GK331)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IF(Construction!$F$31=Construction!$R$22,Oeko!BQ332,Oeko!ED332)</f>
        <v>1</v>
      </c>
      <c r="E332" s="1998">
        <f>IF(Construction!$F$31=Construction!$R$22,Oeko!BR332,Oeko!EE332)</f>
        <v>1</v>
      </c>
      <c r="F332" s="1998">
        <f>IF(Construction!$F$31=Construction!$R$22,Oeko!BS332,Oeko!EF332)</f>
        <v>1</v>
      </c>
      <c r="G332" s="1998">
        <f>IF(Construction!$F$31=Construction!$R$22,Oeko!BT332,Oeko!EG332)</f>
        <v>1</v>
      </c>
      <c r="H332" s="1998">
        <f>IF(Construction!$F$31=Construction!$R$22,Oeko!BU332,Oeko!EH332)</f>
        <v>1</v>
      </c>
      <c r="I332" s="1979">
        <f>IF(Construction!$F$31=Construction!$R$22,Oeko!BV332,Oeko!EI332)</f>
        <v>1</v>
      </c>
      <c r="J332" s="1979">
        <f>IF(Construction!$F$31=Construction!$R$22,Oeko!BW332,Oeko!EJ332)</f>
        <v>1</v>
      </c>
      <c r="K332" s="1979">
        <f>IF(Construction!$F$31=Construction!$R$22,Oeko!BX332,Oeko!EK332)</f>
        <v>1</v>
      </c>
      <c r="L332" s="1979">
        <f>IF(Construction!$F$31=Construction!$R$22,Oeko!BY332,Oeko!EL332)</f>
        <v>1</v>
      </c>
      <c r="M332" s="1979">
        <f>IF(Construction!$F$31=Construction!$R$22,Oeko!BZ332,Oeko!EM332)</f>
        <v>1</v>
      </c>
      <c r="N332" s="1998">
        <f>IF(Construction!$F$31=Construction!$R$22,Oeko!CA332,Oeko!EN332)</f>
        <v>1</v>
      </c>
      <c r="O332" s="1998">
        <f>IF(Construction!$F$31=Construction!$R$22,Oeko!CB332,Oeko!EO332)</f>
        <v>1</v>
      </c>
      <c r="P332" s="1998">
        <f>IF(Construction!$F$31=Construction!$R$22,Oeko!CC332,Oeko!EP332)</f>
        <v>1</v>
      </c>
      <c r="Q332" s="1998">
        <f>IF(Construction!$F$31=Construction!$R$22,Oeko!CD332,Oeko!EQ332)</f>
        <v>1</v>
      </c>
      <c r="R332" s="1998">
        <f>IF(Construction!$F$31=Construction!$R$22,Oeko!CE332,Oeko!ER332)</f>
        <v>1</v>
      </c>
      <c r="S332" s="1979">
        <f>IF(Construction!$F$31=Construction!$R$22,Oeko!CF332,Oeko!ES332)</f>
        <v>1</v>
      </c>
      <c r="T332" s="1979">
        <f>IF(Construction!$F$31=Construction!$R$22,Oeko!CG332,Oeko!ET332)</f>
        <v>1</v>
      </c>
      <c r="U332" s="1979">
        <f>IF(Construction!$F$31=Construction!$R$22,Oeko!CH332,Oeko!EU332)</f>
        <v>1</v>
      </c>
      <c r="V332" s="1979">
        <f>IF(Construction!$F$31=Construction!$R$22,Oeko!CI332,Oeko!EV332)</f>
        <v>1</v>
      </c>
      <c r="W332" s="1979">
        <f>IF(Construction!$F$31=Construction!$R$22,Oeko!CJ332,Oeko!EW332)</f>
        <v>1</v>
      </c>
      <c r="X332" s="1998">
        <f>IF(Construction!$F$31=Construction!$R$22,Oeko!CK332,Oeko!EX332)</f>
        <v>1</v>
      </c>
      <c r="Y332" s="1998">
        <f>IF(Construction!$F$31=Construction!$R$22,Oeko!CL332,Oeko!EY332)</f>
        <v>1</v>
      </c>
      <c r="Z332" s="1998">
        <f>IF(Construction!$F$31=Construction!$R$22,Oeko!CM332,Oeko!EZ332)</f>
        <v>1</v>
      </c>
      <c r="AA332" s="1998">
        <f>IF(Construction!$F$31=Construction!$R$22,Oeko!CN332,Oeko!FA332)</f>
        <v>1</v>
      </c>
      <c r="AB332" s="1998">
        <f>IF(Construction!$F$31=Construction!$R$22,Oeko!CO332,Oeko!FB332)</f>
        <v>1</v>
      </c>
      <c r="AC332" s="1979">
        <f>IF(Construction!$F$31=Construction!$R$22,Oeko!CP332,Oeko!FC332)</f>
        <v>1</v>
      </c>
      <c r="AD332" s="1979">
        <f>IF(Construction!$F$31=Construction!$R$22,Oeko!CQ332,Oeko!FD332)</f>
        <v>1</v>
      </c>
      <c r="AE332" s="1979">
        <f>IF(Construction!$F$31=Construction!$R$22,Oeko!CR332,Oeko!FE332)</f>
        <v>1</v>
      </c>
      <c r="AF332" s="1979">
        <f>IF(Construction!$F$31=Construction!$R$22,Oeko!CS332,Oeko!FF332)</f>
        <v>1</v>
      </c>
      <c r="AG332" s="1979">
        <f>IF(Construction!$F$31=Construction!$R$22,Oeko!CT332,Oeko!FG332)</f>
        <v>1</v>
      </c>
      <c r="AH332" s="1998">
        <f>IF(Construction!$F$31=Construction!$R$22,Oeko!CU332,Oeko!FH332)</f>
        <v>1</v>
      </c>
      <c r="AI332" s="1998">
        <f>IF(Construction!$F$31=Construction!$R$22,Oeko!CV332,Oeko!FI332)</f>
        <v>1</v>
      </c>
      <c r="AJ332" s="1998">
        <f>IF(Construction!$F$31=Construction!$R$22,Oeko!CW332,Oeko!FJ332)</f>
        <v>1</v>
      </c>
      <c r="AK332" s="1998">
        <f>IF(Construction!$F$31=Construction!$R$22,Oeko!CX332,Oeko!FK332)</f>
        <v>1</v>
      </c>
      <c r="AL332" s="1998">
        <f>IF(Construction!$F$31=Construction!$R$22,Oeko!CY332,Oeko!FL332)</f>
        <v>1</v>
      </c>
      <c r="AM332" s="1979">
        <f>IF(Construction!$F$31=Construction!$R$22,Oeko!CZ332,Oeko!FM332)</f>
        <v>1</v>
      </c>
      <c r="AN332" s="1979">
        <f>IF(Construction!$F$31=Construction!$R$22,Oeko!DA332,Oeko!FN332)</f>
        <v>1</v>
      </c>
      <c r="AO332" s="1979">
        <f>IF(Construction!$F$31=Construction!$R$22,Oeko!DB332,Oeko!FO332)</f>
        <v>1</v>
      </c>
      <c r="AP332" s="1979">
        <f>IF(Construction!$F$31=Construction!$R$22,Oeko!DC332,Oeko!FP332)</f>
        <v>1</v>
      </c>
      <c r="AQ332" s="1979">
        <f>IF(Construction!$F$31=Construction!$R$22,Oeko!DD332,Oeko!FQ332)</f>
        <v>1</v>
      </c>
      <c r="AR332" s="1998">
        <f>IF(Construction!$F$31=Construction!$R$22,Oeko!DE332,Oeko!FR332)</f>
        <v>1</v>
      </c>
      <c r="AS332" s="1998">
        <f>IF(Construction!$F$31=Construction!$R$22,Oeko!DF332,Oeko!FS332)</f>
        <v>1</v>
      </c>
      <c r="AT332" s="1998">
        <f>IF(Construction!$F$31=Construction!$R$22,Oeko!DG332,Oeko!FT332)</f>
        <v>1</v>
      </c>
      <c r="AU332" s="1998">
        <f>IF(Construction!$F$31=Construction!$R$22,Oeko!DH332,Oeko!FU332)</f>
        <v>1</v>
      </c>
      <c r="AV332" s="1998">
        <f>IF(Construction!$F$31=Construction!$R$22,Oeko!DI332,Oeko!FV332)</f>
        <v>1</v>
      </c>
      <c r="AW332" s="1979">
        <f>IF(Construction!$F$31=Construction!$R$22,Oeko!DJ332,Oeko!FW332)</f>
        <v>1</v>
      </c>
      <c r="AX332" s="1979">
        <f>IF(Construction!$F$31=Construction!$R$22,Oeko!DK332,Oeko!FX332)</f>
        <v>1</v>
      </c>
      <c r="AY332" s="1979">
        <f>IF(Construction!$F$31=Construction!$R$22,Oeko!DL332,Oeko!FY332)</f>
        <v>1</v>
      </c>
      <c r="AZ332" s="1979">
        <f>IF(Construction!$F$31=Construction!$R$22,Oeko!DM332,Oeko!FZ332)</f>
        <v>1</v>
      </c>
      <c r="BA332" s="1979">
        <f>IF(Construction!$F$31=Construction!$R$22,Oeko!DN332,Oeko!GA332)</f>
        <v>1</v>
      </c>
      <c r="BB332" s="1998">
        <f>IF(Construction!$F$31=Construction!$R$22,Oeko!DO332,Oeko!GB332)</f>
        <v>0.12461206483213953</v>
      </c>
      <c r="BC332" s="1998">
        <f>IF(Construction!$F$31=Construction!$R$22,Oeko!DP332,Oeko!GC332)</f>
        <v>0.12461206483213953</v>
      </c>
      <c r="BD332" s="1998">
        <f>IF(Construction!$F$31=Construction!$R$22,Oeko!DQ332,Oeko!GD332)</f>
        <v>0.12461206483213953</v>
      </c>
      <c r="BE332" s="1998">
        <f>IF(Construction!$F$31=Construction!$R$22,Oeko!DR332,Oeko!GE332)</f>
        <v>0.12461206483213953</v>
      </c>
      <c r="BF332" s="1998">
        <f>IF(Construction!$F$31=Construction!$R$22,Oeko!DS332,Oeko!GF332)</f>
        <v>0.12461206483213953</v>
      </c>
      <c r="BG332" s="1979">
        <f>IF(Construction!$F$31=Construction!$R$22,Oeko!DT332,Oeko!GG332)</f>
        <v>0.12783559671100567</v>
      </c>
      <c r="BH332" s="1979">
        <f>IF(Construction!$F$31=Construction!$R$22,Oeko!DU332,Oeko!GH332)</f>
        <v>0.12783559671100567</v>
      </c>
      <c r="BI332" s="1979">
        <f>IF(Construction!$F$31=Construction!$R$22,Oeko!DV332,Oeko!GI332)</f>
        <v>0.12783559671100567</v>
      </c>
      <c r="BJ332" s="1979">
        <f>IF(Construction!$F$31=Construction!$R$22,Oeko!DW332,Oeko!GJ332)</f>
        <v>0.12783559671100567</v>
      </c>
      <c r="BK332" s="2021">
        <f>IF(Construction!$F$31=Construction!$R$22,Oeko!DX332,Oeko!GK332)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IF(Construction!$F$31=Construction!$R$22,Oeko!BQ333,Oeko!ED333)</f>
        <v>1</v>
      </c>
      <c r="E333" s="1998">
        <f>IF(Construction!$F$31=Construction!$R$22,Oeko!BR333,Oeko!EE333)</f>
        <v>1</v>
      </c>
      <c r="F333" s="1998">
        <f>IF(Construction!$F$31=Construction!$R$22,Oeko!BS333,Oeko!EF333)</f>
        <v>1</v>
      </c>
      <c r="G333" s="1998">
        <f>IF(Construction!$F$31=Construction!$R$22,Oeko!BT333,Oeko!EG333)</f>
        <v>1</v>
      </c>
      <c r="H333" s="1998">
        <f>IF(Construction!$F$31=Construction!$R$22,Oeko!BU333,Oeko!EH333)</f>
        <v>1</v>
      </c>
      <c r="I333" s="1979">
        <f>IF(Construction!$F$31=Construction!$R$22,Oeko!BV333,Oeko!EI333)</f>
        <v>1</v>
      </c>
      <c r="J333" s="1979">
        <f>IF(Construction!$F$31=Construction!$R$22,Oeko!BW333,Oeko!EJ333)</f>
        <v>1</v>
      </c>
      <c r="K333" s="1979">
        <f>IF(Construction!$F$31=Construction!$R$22,Oeko!BX333,Oeko!EK333)</f>
        <v>1</v>
      </c>
      <c r="L333" s="1979">
        <f>IF(Construction!$F$31=Construction!$R$22,Oeko!BY333,Oeko!EL333)</f>
        <v>1</v>
      </c>
      <c r="M333" s="1979">
        <f>IF(Construction!$F$31=Construction!$R$22,Oeko!BZ333,Oeko!EM333)</f>
        <v>1</v>
      </c>
      <c r="N333" s="1998">
        <f>IF(Construction!$F$31=Construction!$R$22,Oeko!CA333,Oeko!EN333)</f>
        <v>1</v>
      </c>
      <c r="O333" s="1998">
        <f>IF(Construction!$F$31=Construction!$R$22,Oeko!CB333,Oeko!EO333)</f>
        <v>1</v>
      </c>
      <c r="P333" s="1998">
        <f>IF(Construction!$F$31=Construction!$R$22,Oeko!CC333,Oeko!EP333)</f>
        <v>1</v>
      </c>
      <c r="Q333" s="1998">
        <f>IF(Construction!$F$31=Construction!$R$22,Oeko!CD333,Oeko!EQ333)</f>
        <v>1</v>
      </c>
      <c r="R333" s="1998">
        <f>IF(Construction!$F$31=Construction!$R$22,Oeko!CE333,Oeko!ER333)</f>
        <v>1</v>
      </c>
      <c r="S333" s="1979">
        <f>IF(Construction!$F$31=Construction!$R$22,Oeko!CF333,Oeko!ES333)</f>
        <v>1</v>
      </c>
      <c r="T333" s="1979">
        <f>IF(Construction!$F$31=Construction!$R$22,Oeko!CG333,Oeko!ET333)</f>
        <v>1</v>
      </c>
      <c r="U333" s="1979">
        <f>IF(Construction!$F$31=Construction!$R$22,Oeko!CH333,Oeko!EU333)</f>
        <v>1</v>
      </c>
      <c r="V333" s="1979">
        <f>IF(Construction!$F$31=Construction!$R$22,Oeko!CI333,Oeko!EV333)</f>
        <v>1</v>
      </c>
      <c r="W333" s="1979">
        <f>IF(Construction!$F$31=Construction!$R$22,Oeko!CJ333,Oeko!EW333)</f>
        <v>1</v>
      </c>
      <c r="X333" s="1998">
        <f>IF(Construction!$F$31=Construction!$R$22,Oeko!CK333,Oeko!EX333)</f>
        <v>1</v>
      </c>
      <c r="Y333" s="1998">
        <f>IF(Construction!$F$31=Construction!$R$22,Oeko!CL333,Oeko!EY333)</f>
        <v>1</v>
      </c>
      <c r="Z333" s="1998">
        <f>IF(Construction!$F$31=Construction!$R$22,Oeko!CM333,Oeko!EZ333)</f>
        <v>1</v>
      </c>
      <c r="AA333" s="1998">
        <f>IF(Construction!$F$31=Construction!$R$22,Oeko!CN333,Oeko!FA333)</f>
        <v>1</v>
      </c>
      <c r="AB333" s="1998">
        <f>IF(Construction!$F$31=Construction!$R$22,Oeko!CO333,Oeko!FB333)</f>
        <v>1</v>
      </c>
      <c r="AC333" s="1979">
        <f>IF(Construction!$F$31=Construction!$R$22,Oeko!CP333,Oeko!FC333)</f>
        <v>1</v>
      </c>
      <c r="AD333" s="1979">
        <f>IF(Construction!$F$31=Construction!$R$22,Oeko!CQ333,Oeko!FD333)</f>
        <v>1</v>
      </c>
      <c r="AE333" s="1979">
        <f>IF(Construction!$F$31=Construction!$R$22,Oeko!CR333,Oeko!FE333)</f>
        <v>1</v>
      </c>
      <c r="AF333" s="1979">
        <f>IF(Construction!$F$31=Construction!$R$22,Oeko!CS333,Oeko!FF333)</f>
        <v>1</v>
      </c>
      <c r="AG333" s="1979">
        <f>IF(Construction!$F$31=Construction!$R$22,Oeko!CT333,Oeko!FG333)</f>
        <v>1</v>
      </c>
      <c r="AH333" s="1998">
        <f>IF(Construction!$F$31=Construction!$R$22,Oeko!CU333,Oeko!FH333)</f>
        <v>1</v>
      </c>
      <c r="AI333" s="1998">
        <f>IF(Construction!$F$31=Construction!$R$22,Oeko!CV333,Oeko!FI333)</f>
        <v>1</v>
      </c>
      <c r="AJ333" s="1998">
        <f>IF(Construction!$F$31=Construction!$R$22,Oeko!CW333,Oeko!FJ333)</f>
        <v>1</v>
      </c>
      <c r="AK333" s="1998">
        <f>IF(Construction!$F$31=Construction!$R$22,Oeko!CX333,Oeko!FK333)</f>
        <v>1</v>
      </c>
      <c r="AL333" s="1998">
        <f>IF(Construction!$F$31=Construction!$R$22,Oeko!CY333,Oeko!FL333)</f>
        <v>1</v>
      </c>
      <c r="AM333" s="1979">
        <f>IF(Construction!$F$31=Construction!$R$22,Oeko!CZ333,Oeko!FM333)</f>
        <v>1.1666666666666665</v>
      </c>
      <c r="AN333" s="1979">
        <f>IF(Construction!$F$31=Construction!$R$22,Oeko!DA333,Oeko!FN333)</f>
        <v>1.1666666666666665</v>
      </c>
      <c r="AO333" s="1979">
        <f>IF(Construction!$F$31=Construction!$R$22,Oeko!DB333,Oeko!FO333)</f>
        <v>1.1666666666666665</v>
      </c>
      <c r="AP333" s="1979">
        <f>IF(Construction!$F$31=Construction!$R$22,Oeko!DC333,Oeko!FP333)</f>
        <v>1.1666666666666665</v>
      </c>
      <c r="AQ333" s="1979">
        <f>IF(Construction!$F$31=Construction!$R$22,Oeko!DD333,Oeko!FQ333)</f>
        <v>1.1666666666666665</v>
      </c>
      <c r="AR333" s="1998">
        <f>IF(Construction!$F$31=Construction!$R$22,Oeko!DE333,Oeko!FR333)</f>
        <v>1</v>
      </c>
      <c r="AS333" s="1998">
        <f>IF(Construction!$F$31=Construction!$R$22,Oeko!DF333,Oeko!FS333)</f>
        <v>1</v>
      </c>
      <c r="AT333" s="1998">
        <f>IF(Construction!$F$31=Construction!$R$22,Oeko!DG333,Oeko!FT333)</f>
        <v>1</v>
      </c>
      <c r="AU333" s="1998">
        <f>IF(Construction!$F$31=Construction!$R$22,Oeko!DH333,Oeko!FU333)</f>
        <v>1</v>
      </c>
      <c r="AV333" s="1998">
        <f>IF(Construction!$F$31=Construction!$R$22,Oeko!DI333,Oeko!FV333)</f>
        <v>1</v>
      </c>
      <c r="AW333" s="1979">
        <f>IF(Construction!$F$31=Construction!$R$22,Oeko!DJ333,Oeko!FW333)</f>
        <v>1</v>
      </c>
      <c r="AX333" s="1979">
        <f>IF(Construction!$F$31=Construction!$R$22,Oeko!DK333,Oeko!FX333)</f>
        <v>1</v>
      </c>
      <c r="AY333" s="1979">
        <f>IF(Construction!$F$31=Construction!$R$22,Oeko!DL333,Oeko!FY333)</f>
        <v>1</v>
      </c>
      <c r="AZ333" s="1979">
        <f>IF(Construction!$F$31=Construction!$R$22,Oeko!DM333,Oeko!FZ333)</f>
        <v>1</v>
      </c>
      <c r="BA333" s="1979">
        <f>IF(Construction!$F$31=Construction!$R$22,Oeko!DN333,Oeko!GA333)</f>
        <v>1</v>
      </c>
      <c r="BB333" s="1998">
        <f>IF(Construction!$F$31=Construction!$R$22,Oeko!DO333,Oeko!GB333)</f>
        <v>0.12461206483213953</v>
      </c>
      <c r="BC333" s="1998">
        <f>IF(Construction!$F$31=Construction!$R$22,Oeko!DP333,Oeko!GC333)</f>
        <v>0.12461206483213953</v>
      </c>
      <c r="BD333" s="1998">
        <f>IF(Construction!$F$31=Construction!$R$22,Oeko!DQ333,Oeko!GD333)</f>
        <v>0.12461206483213953</v>
      </c>
      <c r="BE333" s="1998">
        <f>IF(Construction!$F$31=Construction!$R$22,Oeko!DR333,Oeko!GE333)</f>
        <v>0.12461206483213953</v>
      </c>
      <c r="BF333" s="1998">
        <f>IF(Construction!$F$31=Construction!$R$22,Oeko!DS333,Oeko!GF333)</f>
        <v>0.12461206483213953</v>
      </c>
      <c r="BG333" s="1979">
        <f>IF(Construction!$F$31=Construction!$R$22,Oeko!DT333,Oeko!GG333)</f>
        <v>0.12783559671100567</v>
      </c>
      <c r="BH333" s="1979">
        <f>IF(Construction!$F$31=Construction!$R$22,Oeko!DU333,Oeko!GH333)</f>
        <v>0.12783559671100567</v>
      </c>
      <c r="BI333" s="1979">
        <f>IF(Construction!$F$31=Construction!$R$22,Oeko!DV333,Oeko!GI333)</f>
        <v>0.12783559671100567</v>
      </c>
      <c r="BJ333" s="1979">
        <f>IF(Construction!$F$31=Construction!$R$22,Oeko!DW333,Oeko!GJ333)</f>
        <v>0.12783559671100567</v>
      </c>
      <c r="BK333" s="2021">
        <f>IF(Construction!$F$31=Construction!$R$22,Oeko!DX333,Oeko!GK333)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IF(Construction!$F$31=Construction!$R$22,Oeko!BQ334,Oeko!ED334)</f>
        <v>1.3333333333333333</v>
      </c>
      <c r="E334" s="1998">
        <f>IF(Construction!$F$31=Construction!$R$22,Oeko!BR334,Oeko!EE334)</f>
        <v>1.3333333333333333</v>
      </c>
      <c r="F334" s="1998">
        <f>IF(Construction!$F$31=Construction!$R$22,Oeko!BS334,Oeko!EF334)</f>
        <v>1.3333333333333333</v>
      </c>
      <c r="G334" s="1998">
        <f>IF(Construction!$F$31=Construction!$R$22,Oeko!BT334,Oeko!EG334)</f>
        <v>1.3333333333333333</v>
      </c>
      <c r="H334" s="1998">
        <f>IF(Construction!$F$31=Construction!$R$22,Oeko!BU334,Oeko!EH334)</f>
        <v>1.3333333333333333</v>
      </c>
      <c r="I334" s="1979">
        <f>IF(Construction!$F$31=Construction!$R$22,Oeko!BV334,Oeko!EI334)</f>
        <v>1</v>
      </c>
      <c r="J334" s="1979">
        <f>IF(Construction!$F$31=Construction!$R$22,Oeko!BW334,Oeko!EJ334)</f>
        <v>1</v>
      </c>
      <c r="K334" s="1979">
        <f>IF(Construction!$F$31=Construction!$R$22,Oeko!BX334,Oeko!EK334)</f>
        <v>1</v>
      </c>
      <c r="L334" s="1979">
        <f>IF(Construction!$F$31=Construction!$R$22,Oeko!BY334,Oeko!EL334)</f>
        <v>1</v>
      </c>
      <c r="M334" s="1979">
        <f>IF(Construction!$F$31=Construction!$R$22,Oeko!BZ334,Oeko!EM334)</f>
        <v>1</v>
      </c>
      <c r="N334" s="1998">
        <f>IF(Construction!$F$31=Construction!$R$22,Oeko!CA334,Oeko!EN334)</f>
        <v>1</v>
      </c>
      <c r="O334" s="1998">
        <f>IF(Construction!$F$31=Construction!$R$22,Oeko!CB334,Oeko!EO334)</f>
        <v>1</v>
      </c>
      <c r="P334" s="1998">
        <f>IF(Construction!$F$31=Construction!$R$22,Oeko!CC334,Oeko!EP334)</f>
        <v>1</v>
      </c>
      <c r="Q334" s="1998">
        <f>IF(Construction!$F$31=Construction!$R$22,Oeko!CD334,Oeko!EQ334)</f>
        <v>1</v>
      </c>
      <c r="R334" s="1998">
        <f>IF(Construction!$F$31=Construction!$R$22,Oeko!CE334,Oeko!ER334)</f>
        <v>1</v>
      </c>
      <c r="S334" s="1979">
        <f>IF(Construction!$F$31=Construction!$R$22,Oeko!CF334,Oeko!ES334)</f>
        <v>1</v>
      </c>
      <c r="T334" s="1979">
        <f>IF(Construction!$F$31=Construction!$R$22,Oeko!CG334,Oeko!ET334)</f>
        <v>1</v>
      </c>
      <c r="U334" s="1979">
        <f>IF(Construction!$F$31=Construction!$R$22,Oeko!CH334,Oeko!EU334)</f>
        <v>1</v>
      </c>
      <c r="V334" s="1979">
        <f>IF(Construction!$F$31=Construction!$R$22,Oeko!CI334,Oeko!EV334)</f>
        <v>1</v>
      </c>
      <c r="W334" s="1979">
        <f>IF(Construction!$F$31=Construction!$R$22,Oeko!CJ334,Oeko!EW334)</f>
        <v>1</v>
      </c>
      <c r="X334" s="1998">
        <f>IF(Construction!$F$31=Construction!$R$22,Oeko!CK334,Oeko!EX334)</f>
        <v>1</v>
      </c>
      <c r="Y334" s="1998">
        <f>IF(Construction!$F$31=Construction!$R$22,Oeko!CL334,Oeko!EY334)</f>
        <v>1</v>
      </c>
      <c r="Z334" s="1998">
        <f>IF(Construction!$F$31=Construction!$R$22,Oeko!CM334,Oeko!EZ334)</f>
        <v>1</v>
      </c>
      <c r="AA334" s="1998">
        <f>IF(Construction!$F$31=Construction!$R$22,Oeko!CN334,Oeko!FA334)</f>
        <v>1</v>
      </c>
      <c r="AB334" s="1998">
        <f>IF(Construction!$F$31=Construction!$R$22,Oeko!CO334,Oeko!FB334)</f>
        <v>1</v>
      </c>
      <c r="AC334" s="1979">
        <f>IF(Construction!$F$31=Construction!$R$22,Oeko!CP334,Oeko!FC334)</f>
        <v>1</v>
      </c>
      <c r="AD334" s="1979">
        <f>IF(Construction!$F$31=Construction!$R$22,Oeko!CQ334,Oeko!FD334)</f>
        <v>1</v>
      </c>
      <c r="AE334" s="1979">
        <f>IF(Construction!$F$31=Construction!$R$22,Oeko!CR334,Oeko!FE334)</f>
        <v>1</v>
      </c>
      <c r="AF334" s="1979">
        <f>IF(Construction!$F$31=Construction!$R$22,Oeko!CS334,Oeko!FF334)</f>
        <v>1</v>
      </c>
      <c r="AG334" s="1979">
        <f>IF(Construction!$F$31=Construction!$R$22,Oeko!CT334,Oeko!FG334)</f>
        <v>1</v>
      </c>
      <c r="AH334" s="1998">
        <f>IF(Construction!$F$31=Construction!$R$22,Oeko!CU334,Oeko!FH334)</f>
        <v>1</v>
      </c>
      <c r="AI334" s="1998">
        <f>IF(Construction!$F$31=Construction!$R$22,Oeko!CV334,Oeko!FI334)</f>
        <v>1</v>
      </c>
      <c r="AJ334" s="1998">
        <f>IF(Construction!$F$31=Construction!$R$22,Oeko!CW334,Oeko!FJ334)</f>
        <v>1</v>
      </c>
      <c r="AK334" s="1998">
        <f>IF(Construction!$F$31=Construction!$R$22,Oeko!CX334,Oeko!FK334)</f>
        <v>1</v>
      </c>
      <c r="AL334" s="1998">
        <f>IF(Construction!$F$31=Construction!$R$22,Oeko!CY334,Oeko!FL334)</f>
        <v>1</v>
      </c>
      <c r="AM334" s="1979">
        <f>IF(Construction!$F$31=Construction!$R$22,Oeko!CZ334,Oeko!FM334)</f>
        <v>1.3333333333333333</v>
      </c>
      <c r="AN334" s="1979">
        <f>IF(Construction!$F$31=Construction!$R$22,Oeko!DA334,Oeko!FN334)</f>
        <v>1.3333333333333333</v>
      </c>
      <c r="AO334" s="1979">
        <f>IF(Construction!$F$31=Construction!$R$22,Oeko!DB334,Oeko!FO334)</f>
        <v>1.3333333333333333</v>
      </c>
      <c r="AP334" s="1979">
        <f>IF(Construction!$F$31=Construction!$R$22,Oeko!DC334,Oeko!FP334)</f>
        <v>1.3333333333333333</v>
      </c>
      <c r="AQ334" s="1979">
        <f>IF(Construction!$F$31=Construction!$R$22,Oeko!DD334,Oeko!FQ334)</f>
        <v>1.3333333333333333</v>
      </c>
      <c r="AR334" s="1998">
        <f>IF(Construction!$F$31=Construction!$R$22,Oeko!DE334,Oeko!FR334)</f>
        <v>1</v>
      </c>
      <c r="AS334" s="1998">
        <f>IF(Construction!$F$31=Construction!$R$22,Oeko!DF334,Oeko!FS334)</f>
        <v>1</v>
      </c>
      <c r="AT334" s="1998">
        <f>IF(Construction!$F$31=Construction!$R$22,Oeko!DG334,Oeko!FT334)</f>
        <v>1</v>
      </c>
      <c r="AU334" s="1998">
        <f>IF(Construction!$F$31=Construction!$R$22,Oeko!DH334,Oeko!FU334)</f>
        <v>1</v>
      </c>
      <c r="AV334" s="1998">
        <f>IF(Construction!$F$31=Construction!$R$22,Oeko!DI334,Oeko!FV334)</f>
        <v>1</v>
      </c>
      <c r="AW334" s="1979">
        <f>IF(Construction!$F$31=Construction!$R$22,Oeko!DJ334,Oeko!FW334)</f>
        <v>1</v>
      </c>
      <c r="AX334" s="1979">
        <f>IF(Construction!$F$31=Construction!$R$22,Oeko!DK334,Oeko!FX334)</f>
        <v>1</v>
      </c>
      <c r="AY334" s="1979">
        <f>IF(Construction!$F$31=Construction!$R$22,Oeko!DL334,Oeko!FY334)</f>
        <v>1</v>
      </c>
      <c r="AZ334" s="1979">
        <f>IF(Construction!$F$31=Construction!$R$22,Oeko!DM334,Oeko!FZ334)</f>
        <v>1</v>
      </c>
      <c r="BA334" s="1979">
        <f>IF(Construction!$F$31=Construction!$R$22,Oeko!DN334,Oeko!GA334)</f>
        <v>1</v>
      </c>
      <c r="BB334" s="1998">
        <f>IF(Construction!$F$31=Construction!$R$22,Oeko!DO334,Oeko!GB334)</f>
        <v>0.12461206483213953</v>
      </c>
      <c r="BC334" s="1998">
        <f>IF(Construction!$F$31=Construction!$R$22,Oeko!DP334,Oeko!GC334)</f>
        <v>0.12461206483213953</v>
      </c>
      <c r="BD334" s="1998">
        <f>IF(Construction!$F$31=Construction!$R$22,Oeko!DQ334,Oeko!GD334)</f>
        <v>0.12461206483213953</v>
      </c>
      <c r="BE334" s="1998">
        <f>IF(Construction!$F$31=Construction!$R$22,Oeko!DR334,Oeko!GE334)</f>
        <v>0.12461206483213953</v>
      </c>
      <c r="BF334" s="1998">
        <f>IF(Construction!$F$31=Construction!$R$22,Oeko!DS334,Oeko!GF334)</f>
        <v>0.12461206483213953</v>
      </c>
      <c r="BG334" s="1979">
        <f>IF(Construction!$F$31=Construction!$R$22,Oeko!DT334,Oeko!GG334)</f>
        <v>0.12783559671100567</v>
      </c>
      <c r="BH334" s="1979">
        <f>IF(Construction!$F$31=Construction!$R$22,Oeko!DU334,Oeko!GH334)</f>
        <v>0.12783559671100567</v>
      </c>
      <c r="BI334" s="1979">
        <f>IF(Construction!$F$31=Construction!$R$22,Oeko!DV334,Oeko!GI334)</f>
        <v>0.12783559671100567</v>
      </c>
      <c r="BJ334" s="1979">
        <f>IF(Construction!$F$31=Construction!$R$22,Oeko!DW334,Oeko!GJ334)</f>
        <v>0.12783559671100567</v>
      </c>
      <c r="BK334" s="2021">
        <f>IF(Construction!$F$31=Construction!$R$22,Oeko!DX334,Oeko!GK334)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Fondation superficielle</v>
      </c>
      <c r="D335" s="1998">
        <f>IF(Construction!$F$31=Construction!$R$22,Oeko!BQ335,Oeko!ED335)</f>
        <v>1</v>
      </c>
      <c r="E335" s="1998">
        <f>IF(Construction!$F$31=Construction!$R$22,Oeko!BR335,Oeko!EE335)</f>
        <v>1</v>
      </c>
      <c r="F335" s="1998">
        <f>IF(Construction!$F$31=Construction!$R$22,Oeko!BS335,Oeko!EF335)</f>
        <v>1</v>
      </c>
      <c r="G335" s="1998">
        <f>IF(Construction!$F$31=Construction!$R$22,Oeko!BT335,Oeko!EG335)</f>
        <v>1</v>
      </c>
      <c r="H335" s="1998">
        <f>IF(Construction!$F$31=Construction!$R$22,Oeko!BU335,Oeko!EH335)</f>
        <v>1</v>
      </c>
      <c r="I335" s="1979">
        <f>IF(Construction!$F$31=Construction!$R$22,Oeko!BV335,Oeko!EI335)</f>
        <v>1</v>
      </c>
      <c r="J335" s="1979">
        <f>IF(Construction!$F$31=Construction!$R$22,Oeko!BW335,Oeko!EJ335)</f>
        <v>1</v>
      </c>
      <c r="K335" s="1979">
        <f>IF(Construction!$F$31=Construction!$R$22,Oeko!BX335,Oeko!EK335)</f>
        <v>1</v>
      </c>
      <c r="L335" s="1979">
        <f>IF(Construction!$F$31=Construction!$R$22,Oeko!BY335,Oeko!EL335)</f>
        <v>1</v>
      </c>
      <c r="M335" s="1979">
        <f>IF(Construction!$F$31=Construction!$R$22,Oeko!BZ335,Oeko!EM335)</f>
        <v>1</v>
      </c>
      <c r="N335" s="1998">
        <f>IF(Construction!$F$31=Construction!$R$22,Oeko!CA335,Oeko!EN335)</f>
        <v>1</v>
      </c>
      <c r="O335" s="1998">
        <f>IF(Construction!$F$31=Construction!$R$22,Oeko!CB335,Oeko!EO335)</f>
        <v>1</v>
      </c>
      <c r="P335" s="1998">
        <f>IF(Construction!$F$31=Construction!$R$22,Oeko!CC335,Oeko!EP335)</f>
        <v>1</v>
      </c>
      <c r="Q335" s="1998">
        <f>IF(Construction!$F$31=Construction!$R$22,Oeko!CD335,Oeko!EQ335)</f>
        <v>1</v>
      </c>
      <c r="R335" s="1998">
        <f>IF(Construction!$F$31=Construction!$R$22,Oeko!CE335,Oeko!ER335)</f>
        <v>1</v>
      </c>
      <c r="S335" s="1979">
        <f>IF(Construction!$F$31=Construction!$R$22,Oeko!CF335,Oeko!ES335)</f>
        <v>1</v>
      </c>
      <c r="T335" s="1979">
        <f>IF(Construction!$F$31=Construction!$R$22,Oeko!CG335,Oeko!ET335)</f>
        <v>1</v>
      </c>
      <c r="U335" s="1979">
        <f>IF(Construction!$F$31=Construction!$R$22,Oeko!CH335,Oeko!EU335)</f>
        <v>1</v>
      </c>
      <c r="V335" s="1979">
        <f>IF(Construction!$F$31=Construction!$R$22,Oeko!CI335,Oeko!EV335)</f>
        <v>1</v>
      </c>
      <c r="W335" s="1979">
        <f>IF(Construction!$F$31=Construction!$R$22,Oeko!CJ335,Oeko!EW335)</f>
        <v>1</v>
      </c>
      <c r="X335" s="1998">
        <f>IF(Construction!$F$31=Construction!$R$22,Oeko!CK335,Oeko!EX335)</f>
        <v>1</v>
      </c>
      <c r="Y335" s="1998">
        <f>IF(Construction!$F$31=Construction!$R$22,Oeko!CL335,Oeko!EY335)</f>
        <v>1</v>
      </c>
      <c r="Z335" s="1998">
        <f>IF(Construction!$F$31=Construction!$R$22,Oeko!CM335,Oeko!EZ335)</f>
        <v>1</v>
      </c>
      <c r="AA335" s="1998">
        <f>IF(Construction!$F$31=Construction!$R$22,Oeko!CN335,Oeko!FA335)</f>
        <v>1</v>
      </c>
      <c r="AB335" s="1998">
        <f>IF(Construction!$F$31=Construction!$R$22,Oeko!CO335,Oeko!FB335)</f>
        <v>1</v>
      </c>
      <c r="AC335" s="1979">
        <f>IF(Construction!$F$31=Construction!$R$22,Oeko!CP335,Oeko!FC335)</f>
        <v>1</v>
      </c>
      <c r="AD335" s="1979">
        <f>IF(Construction!$F$31=Construction!$R$22,Oeko!CQ335,Oeko!FD335)</f>
        <v>1</v>
      </c>
      <c r="AE335" s="1979">
        <f>IF(Construction!$F$31=Construction!$R$22,Oeko!CR335,Oeko!FE335)</f>
        <v>1</v>
      </c>
      <c r="AF335" s="1979">
        <f>IF(Construction!$F$31=Construction!$R$22,Oeko!CS335,Oeko!FF335)</f>
        <v>1</v>
      </c>
      <c r="AG335" s="1979">
        <f>IF(Construction!$F$31=Construction!$R$22,Oeko!CT335,Oeko!FG335)</f>
        <v>1</v>
      </c>
      <c r="AH335" s="1998">
        <f>IF(Construction!$F$31=Construction!$R$22,Oeko!CU335,Oeko!FH335)</f>
        <v>1</v>
      </c>
      <c r="AI335" s="1998">
        <f>IF(Construction!$F$31=Construction!$R$22,Oeko!CV335,Oeko!FI335)</f>
        <v>1</v>
      </c>
      <c r="AJ335" s="1998">
        <f>IF(Construction!$F$31=Construction!$R$22,Oeko!CW335,Oeko!FJ335)</f>
        <v>1</v>
      </c>
      <c r="AK335" s="1998">
        <f>IF(Construction!$F$31=Construction!$R$22,Oeko!CX335,Oeko!FK335)</f>
        <v>1</v>
      </c>
      <c r="AL335" s="1998">
        <f>IF(Construction!$F$31=Construction!$R$22,Oeko!CY335,Oeko!FL335)</f>
        <v>1</v>
      </c>
      <c r="AM335" s="1979">
        <f>IF(Construction!$F$31=Construction!$R$22,Oeko!CZ335,Oeko!FM335)</f>
        <v>1</v>
      </c>
      <c r="AN335" s="1979">
        <f>IF(Construction!$F$31=Construction!$R$22,Oeko!DA335,Oeko!FN335)</f>
        <v>1</v>
      </c>
      <c r="AO335" s="1979">
        <f>IF(Construction!$F$31=Construction!$R$22,Oeko!DB335,Oeko!FO335)</f>
        <v>1</v>
      </c>
      <c r="AP335" s="1979">
        <f>IF(Construction!$F$31=Construction!$R$22,Oeko!DC335,Oeko!FP335)</f>
        <v>1</v>
      </c>
      <c r="AQ335" s="1979">
        <f>IF(Construction!$F$31=Construction!$R$22,Oeko!DD335,Oeko!FQ335)</f>
        <v>1</v>
      </c>
      <c r="AR335" s="1998">
        <f>IF(Construction!$F$31=Construction!$R$22,Oeko!DE335,Oeko!FR335)</f>
        <v>1</v>
      </c>
      <c r="AS335" s="1998">
        <f>IF(Construction!$F$31=Construction!$R$22,Oeko!DF335,Oeko!FS335)</f>
        <v>1</v>
      </c>
      <c r="AT335" s="1998">
        <f>IF(Construction!$F$31=Construction!$R$22,Oeko!DG335,Oeko!FT335)</f>
        <v>1</v>
      </c>
      <c r="AU335" s="1998">
        <f>IF(Construction!$F$31=Construction!$R$22,Oeko!DH335,Oeko!FU335)</f>
        <v>1</v>
      </c>
      <c r="AV335" s="1998">
        <f>IF(Construction!$F$31=Construction!$R$22,Oeko!DI335,Oeko!FV335)</f>
        <v>1</v>
      </c>
      <c r="AW335" s="1979">
        <f>IF(Construction!$F$31=Construction!$R$22,Oeko!DJ335,Oeko!FW335)</f>
        <v>1</v>
      </c>
      <c r="AX335" s="1979">
        <f>IF(Construction!$F$31=Construction!$R$22,Oeko!DK335,Oeko!FX335)</f>
        <v>1</v>
      </c>
      <c r="AY335" s="1979">
        <f>IF(Construction!$F$31=Construction!$R$22,Oeko!DL335,Oeko!FY335)</f>
        <v>1</v>
      </c>
      <c r="AZ335" s="1979">
        <f>IF(Construction!$F$31=Construction!$R$22,Oeko!DM335,Oeko!FZ335)</f>
        <v>1</v>
      </c>
      <c r="BA335" s="1979">
        <f>IF(Construction!$F$31=Construction!$R$22,Oeko!DN335,Oeko!GA335)</f>
        <v>1</v>
      </c>
      <c r="BB335" s="1998">
        <f>IF(Construction!$F$31=Construction!$R$22,Oeko!DO335,Oeko!GB335)</f>
        <v>1</v>
      </c>
      <c r="BC335" s="1998">
        <f>IF(Construction!$F$31=Construction!$R$22,Oeko!DP335,Oeko!GC335)</f>
        <v>1</v>
      </c>
      <c r="BD335" s="1998">
        <f>IF(Construction!$F$31=Construction!$R$22,Oeko!DQ335,Oeko!GD335)</f>
        <v>1</v>
      </c>
      <c r="BE335" s="1998">
        <f>IF(Construction!$F$31=Construction!$R$22,Oeko!DR335,Oeko!GE335)</f>
        <v>1</v>
      </c>
      <c r="BF335" s="1998">
        <f>IF(Construction!$F$31=Construction!$R$22,Oeko!DS335,Oeko!GF335)</f>
        <v>1</v>
      </c>
      <c r="BG335" s="1979">
        <f>IF(Construction!$F$31=Construction!$R$22,Oeko!DT335,Oeko!GG335)</f>
        <v>1</v>
      </c>
      <c r="BH335" s="1979">
        <f>IF(Construction!$F$31=Construction!$R$22,Oeko!DU335,Oeko!GH335)</f>
        <v>1</v>
      </c>
      <c r="BI335" s="1979">
        <f>IF(Construction!$F$31=Construction!$R$22,Oeko!DV335,Oeko!GI335)</f>
        <v>1</v>
      </c>
      <c r="BJ335" s="1979">
        <f>IF(Construction!$F$31=Construction!$R$22,Oeko!DW335,Oeko!GJ335)</f>
        <v>1</v>
      </c>
      <c r="BK335" s="2021">
        <f>IF(Construction!$F$31=Construction!$R$22,Oeko!DX335,Oeko!GK335)</f>
        <v>1</v>
      </c>
      <c r="BN335" s="2022"/>
      <c r="BO335" s="2">
        <v>29</v>
      </c>
      <c r="BP335" s="2" t="str">
        <f>$AD$13</f>
        <v>Fondation superficielle</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Fondation superficielle</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Micro-pieux</v>
      </c>
      <c r="D336" s="1998">
        <f>IF(Construction!$F$31=Construction!$R$22,Oeko!BQ336,Oeko!ED336)</f>
        <v>1</v>
      </c>
      <c r="E336" s="1998">
        <f>IF(Construction!$F$31=Construction!$R$22,Oeko!BR336,Oeko!EE336)</f>
        <v>1</v>
      </c>
      <c r="F336" s="1998">
        <f>IF(Construction!$F$31=Construction!$R$22,Oeko!BS336,Oeko!EF336)</f>
        <v>1</v>
      </c>
      <c r="G336" s="1998">
        <f>IF(Construction!$F$31=Construction!$R$22,Oeko!BT336,Oeko!EG336)</f>
        <v>1</v>
      </c>
      <c r="H336" s="1998">
        <f>IF(Construction!$F$31=Construction!$R$22,Oeko!BU336,Oeko!EH336)</f>
        <v>1</v>
      </c>
      <c r="I336" s="1979">
        <f>IF(Construction!$F$31=Construction!$R$22,Oeko!BV336,Oeko!EI336)</f>
        <v>1</v>
      </c>
      <c r="J336" s="1979">
        <f>IF(Construction!$F$31=Construction!$R$22,Oeko!BW336,Oeko!EJ336)</f>
        <v>1</v>
      </c>
      <c r="K336" s="1979">
        <f>IF(Construction!$F$31=Construction!$R$22,Oeko!BX336,Oeko!EK336)</f>
        <v>1</v>
      </c>
      <c r="L336" s="1979">
        <f>IF(Construction!$F$31=Construction!$R$22,Oeko!BY336,Oeko!EL336)</f>
        <v>1</v>
      </c>
      <c r="M336" s="1979">
        <f>IF(Construction!$F$31=Construction!$R$22,Oeko!BZ336,Oeko!EM336)</f>
        <v>1</v>
      </c>
      <c r="N336" s="1998">
        <f>IF(Construction!$F$31=Construction!$R$22,Oeko!CA336,Oeko!EN336)</f>
        <v>1</v>
      </c>
      <c r="O336" s="1998">
        <f>IF(Construction!$F$31=Construction!$R$22,Oeko!CB336,Oeko!EO336)</f>
        <v>1</v>
      </c>
      <c r="P336" s="1998">
        <f>IF(Construction!$F$31=Construction!$R$22,Oeko!CC336,Oeko!EP336)</f>
        <v>1</v>
      </c>
      <c r="Q336" s="1998">
        <f>IF(Construction!$F$31=Construction!$R$22,Oeko!CD336,Oeko!EQ336)</f>
        <v>1</v>
      </c>
      <c r="R336" s="1998">
        <f>IF(Construction!$F$31=Construction!$R$22,Oeko!CE336,Oeko!ER336)</f>
        <v>1</v>
      </c>
      <c r="S336" s="1979">
        <f>IF(Construction!$F$31=Construction!$R$22,Oeko!CF336,Oeko!ES336)</f>
        <v>1</v>
      </c>
      <c r="T336" s="1979">
        <f>IF(Construction!$F$31=Construction!$R$22,Oeko!CG336,Oeko!ET336)</f>
        <v>1</v>
      </c>
      <c r="U336" s="1979">
        <f>IF(Construction!$F$31=Construction!$R$22,Oeko!CH336,Oeko!EU336)</f>
        <v>1</v>
      </c>
      <c r="V336" s="1979">
        <f>IF(Construction!$F$31=Construction!$R$22,Oeko!CI336,Oeko!EV336)</f>
        <v>1</v>
      </c>
      <c r="W336" s="1979">
        <f>IF(Construction!$F$31=Construction!$R$22,Oeko!CJ336,Oeko!EW336)</f>
        <v>1</v>
      </c>
      <c r="X336" s="1998">
        <f>IF(Construction!$F$31=Construction!$R$22,Oeko!CK336,Oeko!EX336)</f>
        <v>1</v>
      </c>
      <c r="Y336" s="1998">
        <f>IF(Construction!$F$31=Construction!$R$22,Oeko!CL336,Oeko!EY336)</f>
        <v>1</v>
      </c>
      <c r="Z336" s="1998">
        <f>IF(Construction!$F$31=Construction!$R$22,Oeko!CM336,Oeko!EZ336)</f>
        <v>1</v>
      </c>
      <c r="AA336" s="1998">
        <f>IF(Construction!$F$31=Construction!$R$22,Oeko!CN336,Oeko!FA336)</f>
        <v>1</v>
      </c>
      <c r="AB336" s="1998">
        <f>IF(Construction!$F$31=Construction!$R$22,Oeko!CO336,Oeko!FB336)</f>
        <v>1</v>
      </c>
      <c r="AC336" s="1979">
        <f>IF(Construction!$F$31=Construction!$R$22,Oeko!CP336,Oeko!FC336)</f>
        <v>1</v>
      </c>
      <c r="AD336" s="1979">
        <f>IF(Construction!$F$31=Construction!$R$22,Oeko!CQ336,Oeko!FD336)</f>
        <v>1</v>
      </c>
      <c r="AE336" s="1979">
        <f>IF(Construction!$F$31=Construction!$R$22,Oeko!CR336,Oeko!FE336)</f>
        <v>1</v>
      </c>
      <c r="AF336" s="1979">
        <f>IF(Construction!$F$31=Construction!$R$22,Oeko!CS336,Oeko!FF336)</f>
        <v>1</v>
      </c>
      <c r="AG336" s="1979">
        <f>IF(Construction!$F$31=Construction!$R$22,Oeko!CT336,Oeko!FG336)</f>
        <v>1</v>
      </c>
      <c r="AH336" s="1998">
        <f>IF(Construction!$F$31=Construction!$R$22,Oeko!CU336,Oeko!FH336)</f>
        <v>1</v>
      </c>
      <c r="AI336" s="1998">
        <f>IF(Construction!$F$31=Construction!$R$22,Oeko!CV336,Oeko!FI336)</f>
        <v>1</v>
      </c>
      <c r="AJ336" s="1998">
        <f>IF(Construction!$F$31=Construction!$R$22,Oeko!CW336,Oeko!FJ336)</f>
        <v>1</v>
      </c>
      <c r="AK336" s="1998">
        <f>IF(Construction!$F$31=Construction!$R$22,Oeko!CX336,Oeko!FK336)</f>
        <v>1</v>
      </c>
      <c r="AL336" s="1998">
        <f>IF(Construction!$F$31=Construction!$R$22,Oeko!CY336,Oeko!FL336)</f>
        <v>1</v>
      </c>
      <c r="AM336" s="1979">
        <f>IF(Construction!$F$31=Construction!$R$22,Oeko!CZ336,Oeko!FM336)</f>
        <v>1</v>
      </c>
      <c r="AN336" s="1979">
        <f>IF(Construction!$F$31=Construction!$R$22,Oeko!DA336,Oeko!FN336)</f>
        <v>1</v>
      </c>
      <c r="AO336" s="1979">
        <f>IF(Construction!$F$31=Construction!$R$22,Oeko!DB336,Oeko!FO336)</f>
        <v>1</v>
      </c>
      <c r="AP336" s="1979">
        <f>IF(Construction!$F$31=Construction!$R$22,Oeko!DC336,Oeko!FP336)</f>
        <v>1</v>
      </c>
      <c r="AQ336" s="1979">
        <f>IF(Construction!$F$31=Construction!$R$22,Oeko!DD336,Oeko!FQ336)</f>
        <v>1</v>
      </c>
      <c r="AR336" s="1998">
        <f>IF(Construction!$F$31=Construction!$R$22,Oeko!DE336,Oeko!FR336)</f>
        <v>1</v>
      </c>
      <c r="AS336" s="1998">
        <f>IF(Construction!$F$31=Construction!$R$22,Oeko!DF336,Oeko!FS336)</f>
        <v>1</v>
      </c>
      <c r="AT336" s="1998">
        <f>IF(Construction!$F$31=Construction!$R$22,Oeko!DG336,Oeko!FT336)</f>
        <v>1</v>
      </c>
      <c r="AU336" s="1998">
        <f>IF(Construction!$F$31=Construction!$R$22,Oeko!DH336,Oeko!FU336)</f>
        <v>1</v>
      </c>
      <c r="AV336" s="1998">
        <f>IF(Construction!$F$31=Construction!$R$22,Oeko!DI336,Oeko!FV336)</f>
        <v>1</v>
      </c>
      <c r="AW336" s="1979">
        <f>IF(Construction!$F$31=Construction!$R$22,Oeko!DJ336,Oeko!FW336)</f>
        <v>1</v>
      </c>
      <c r="AX336" s="1979">
        <f>IF(Construction!$F$31=Construction!$R$22,Oeko!DK336,Oeko!FX336)</f>
        <v>1</v>
      </c>
      <c r="AY336" s="1979">
        <f>IF(Construction!$F$31=Construction!$R$22,Oeko!DL336,Oeko!FY336)</f>
        <v>1</v>
      </c>
      <c r="AZ336" s="1979">
        <f>IF(Construction!$F$31=Construction!$R$22,Oeko!DM336,Oeko!FZ336)</f>
        <v>1</v>
      </c>
      <c r="BA336" s="1979">
        <f>IF(Construction!$F$31=Construction!$R$22,Oeko!DN336,Oeko!GA336)</f>
        <v>1</v>
      </c>
      <c r="BB336" s="1998">
        <f>IF(Construction!$F$31=Construction!$R$22,Oeko!DO336,Oeko!GB336)</f>
        <v>1</v>
      </c>
      <c r="BC336" s="1998">
        <f>IF(Construction!$F$31=Construction!$R$22,Oeko!DP336,Oeko!GC336)</f>
        <v>1</v>
      </c>
      <c r="BD336" s="1998">
        <f>IF(Construction!$F$31=Construction!$R$22,Oeko!DQ336,Oeko!GD336)</f>
        <v>1</v>
      </c>
      <c r="BE336" s="1998">
        <f>IF(Construction!$F$31=Construction!$R$22,Oeko!DR336,Oeko!GE336)</f>
        <v>1</v>
      </c>
      <c r="BF336" s="1998">
        <f>IF(Construction!$F$31=Construction!$R$22,Oeko!DS336,Oeko!GF336)</f>
        <v>1</v>
      </c>
      <c r="BG336" s="1979">
        <f>IF(Construction!$F$31=Construction!$R$22,Oeko!DT336,Oeko!GG336)</f>
        <v>1</v>
      </c>
      <c r="BH336" s="1979">
        <f>IF(Construction!$F$31=Construction!$R$22,Oeko!DU336,Oeko!GH336)</f>
        <v>1</v>
      </c>
      <c r="BI336" s="1979">
        <f>IF(Construction!$F$31=Construction!$R$22,Oeko!DV336,Oeko!GI336)</f>
        <v>1</v>
      </c>
      <c r="BJ336" s="1979">
        <f>IF(Construction!$F$31=Construction!$R$22,Oeko!DW336,Oeko!GJ336)</f>
        <v>1</v>
      </c>
      <c r="BK336" s="2021">
        <f>IF(Construction!$F$31=Construction!$R$22,Oeko!DX336,Oeko!GK336)</f>
        <v>1</v>
      </c>
      <c r="BN336" s="2022"/>
      <c r="BO336" s="2">
        <v>30</v>
      </c>
      <c r="BP336" s="2" t="str">
        <f>$AD$14</f>
        <v>Micro-pieux</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Micro-pieux</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Pieux en béton coulé sur place</v>
      </c>
      <c r="D337" s="1998">
        <f>IF(Construction!$F$31=Construction!$R$22,Oeko!BQ337,Oeko!ED337)</f>
        <v>1</v>
      </c>
      <c r="E337" s="1998">
        <f>IF(Construction!$F$31=Construction!$R$22,Oeko!BR337,Oeko!EE337)</f>
        <v>1</v>
      </c>
      <c r="F337" s="1998">
        <f>IF(Construction!$F$31=Construction!$R$22,Oeko!BS337,Oeko!EF337)</f>
        <v>1</v>
      </c>
      <c r="G337" s="1998">
        <f>IF(Construction!$F$31=Construction!$R$22,Oeko!BT337,Oeko!EG337)</f>
        <v>1</v>
      </c>
      <c r="H337" s="1998">
        <f>IF(Construction!$F$31=Construction!$R$22,Oeko!BU337,Oeko!EH337)</f>
        <v>1</v>
      </c>
      <c r="I337" s="1979">
        <f>IF(Construction!$F$31=Construction!$R$22,Oeko!BV337,Oeko!EI337)</f>
        <v>1</v>
      </c>
      <c r="J337" s="1979">
        <f>IF(Construction!$F$31=Construction!$R$22,Oeko!BW337,Oeko!EJ337)</f>
        <v>1</v>
      </c>
      <c r="K337" s="1979">
        <f>IF(Construction!$F$31=Construction!$R$22,Oeko!BX337,Oeko!EK337)</f>
        <v>1</v>
      </c>
      <c r="L337" s="1979">
        <f>IF(Construction!$F$31=Construction!$R$22,Oeko!BY337,Oeko!EL337)</f>
        <v>1</v>
      </c>
      <c r="M337" s="1979">
        <f>IF(Construction!$F$31=Construction!$R$22,Oeko!BZ337,Oeko!EM337)</f>
        <v>1</v>
      </c>
      <c r="N337" s="1998">
        <f>IF(Construction!$F$31=Construction!$R$22,Oeko!CA337,Oeko!EN337)</f>
        <v>1</v>
      </c>
      <c r="O337" s="1998">
        <f>IF(Construction!$F$31=Construction!$R$22,Oeko!CB337,Oeko!EO337)</f>
        <v>1</v>
      </c>
      <c r="P337" s="1998">
        <f>IF(Construction!$F$31=Construction!$R$22,Oeko!CC337,Oeko!EP337)</f>
        <v>1</v>
      </c>
      <c r="Q337" s="1998">
        <f>IF(Construction!$F$31=Construction!$R$22,Oeko!CD337,Oeko!EQ337)</f>
        <v>1</v>
      </c>
      <c r="R337" s="1998">
        <f>IF(Construction!$F$31=Construction!$R$22,Oeko!CE337,Oeko!ER337)</f>
        <v>1</v>
      </c>
      <c r="S337" s="1979">
        <f>IF(Construction!$F$31=Construction!$R$22,Oeko!CF337,Oeko!ES337)</f>
        <v>1</v>
      </c>
      <c r="T337" s="1979">
        <f>IF(Construction!$F$31=Construction!$R$22,Oeko!CG337,Oeko!ET337)</f>
        <v>1</v>
      </c>
      <c r="U337" s="1979">
        <f>IF(Construction!$F$31=Construction!$R$22,Oeko!CH337,Oeko!EU337)</f>
        <v>1</v>
      </c>
      <c r="V337" s="1979">
        <f>IF(Construction!$F$31=Construction!$R$22,Oeko!CI337,Oeko!EV337)</f>
        <v>1</v>
      </c>
      <c r="W337" s="1979">
        <f>IF(Construction!$F$31=Construction!$R$22,Oeko!CJ337,Oeko!EW337)</f>
        <v>1</v>
      </c>
      <c r="X337" s="1998">
        <f>IF(Construction!$F$31=Construction!$R$22,Oeko!CK337,Oeko!EX337)</f>
        <v>1</v>
      </c>
      <c r="Y337" s="1998">
        <f>IF(Construction!$F$31=Construction!$R$22,Oeko!CL337,Oeko!EY337)</f>
        <v>1</v>
      </c>
      <c r="Z337" s="1998">
        <f>IF(Construction!$F$31=Construction!$R$22,Oeko!CM337,Oeko!EZ337)</f>
        <v>1</v>
      </c>
      <c r="AA337" s="1998">
        <f>IF(Construction!$F$31=Construction!$R$22,Oeko!CN337,Oeko!FA337)</f>
        <v>1</v>
      </c>
      <c r="AB337" s="1998">
        <f>IF(Construction!$F$31=Construction!$R$22,Oeko!CO337,Oeko!FB337)</f>
        <v>1</v>
      </c>
      <c r="AC337" s="1979">
        <f>IF(Construction!$F$31=Construction!$R$22,Oeko!CP337,Oeko!FC337)</f>
        <v>1</v>
      </c>
      <c r="AD337" s="1979">
        <f>IF(Construction!$F$31=Construction!$R$22,Oeko!CQ337,Oeko!FD337)</f>
        <v>1</v>
      </c>
      <c r="AE337" s="1979">
        <f>IF(Construction!$F$31=Construction!$R$22,Oeko!CR337,Oeko!FE337)</f>
        <v>1</v>
      </c>
      <c r="AF337" s="1979">
        <f>IF(Construction!$F$31=Construction!$R$22,Oeko!CS337,Oeko!FF337)</f>
        <v>1</v>
      </c>
      <c r="AG337" s="1979">
        <f>IF(Construction!$F$31=Construction!$R$22,Oeko!CT337,Oeko!FG337)</f>
        <v>1</v>
      </c>
      <c r="AH337" s="1998">
        <f>IF(Construction!$F$31=Construction!$R$22,Oeko!CU337,Oeko!FH337)</f>
        <v>1</v>
      </c>
      <c r="AI337" s="1998">
        <f>IF(Construction!$F$31=Construction!$R$22,Oeko!CV337,Oeko!FI337)</f>
        <v>1</v>
      </c>
      <c r="AJ337" s="1998">
        <f>IF(Construction!$F$31=Construction!$R$22,Oeko!CW337,Oeko!FJ337)</f>
        <v>1</v>
      </c>
      <c r="AK337" s="1998">
        <f>IF(Construction!$F$31=Construction!$R$22,Oeko!CX337,Oeko!FK337)</f>
        <v>1</v>
      </c>
      <c r="AL337" s="1998">
        <f>IF(Construction!$F$31=Construction!$R$22,Oeko!CY337,Oeko!FL337)</f>
        <v>1</v>
      </c>
      <c r="AM337" s="1979">
        <f>IF(Construction!$F$31=Construction!$R$22,Oeko!CZ337,Oeko!FM337)</f>
        <v>1</v>
      </c>
      <c r="AN337" s="1979">
        <f>IF(Construction!$F$31=Construction!$R$22,Oeko!DA337,Oeko!FN337)</f>
        <v>1</v>
      </c>
      <c r="AO337" s="1979">
        <f>IF(Construction!$F$31=Construction!$R$22,Oeko!DB337,Oeko!FO337)</f>
        <v>1</v>
      </c>
      <c r="AP337" s="1979">
        <f>IF(Construction!$F$31=Construction!$R$22,Oeko!DC337,Oeko!FP337)</f>
        <v>1</v>
      </c>
      <c r="AQ337" s="1979">
        <f>IF(Construction!$F$31=Construction!$R$22,Oeko!DD337,Oeko!FQ337)</f>
        <v>1</v>
      </c>
      <c r="AR337" s="1998">
        <f>IF(Construction!$F$31=Construction!$R$22,Oeko!DE337,Oeko!FR337)</f>
        <v>1</v>
      </c>
      <c r="AS337" s="1998">
        <f>IF(Construction!$F$31=Construction!$R$22,Oeko!DF337,Oeko!FS337)</f>
        <v>1</v>
      </c>
      <c r="AT337" s="1998">
        <f>IF(Construction!$F$31=Construction!$R$22,Oeko!DG337,Oeko!FT337)</f>
        <v>1</v>
      </c>
      <c r="AU337" s="1998">
        <f>IF(Construction!$F$31=Construction!$R$22,Oeko!DH337,Oeko!FU337)</f>
        <v>1</v>
      </c>
      <c r="AV337" s="1998">
        <f>IF(Construction!$F$31=Construction!$R$22,Oeko!DI337,Oeko!FV337)</f>
        <v>1</v>
      </c>
      <c r="AW337" s="1979">
        <f>IF(Construction!$F$31=Construction!$R$22,Oeko!DJ337,Oeko!FW337)</f>
        <v>1</v>
      </c>
      <c r="AX337" s="1979">
        <f>IF(Construction!$F$31=Construction!$R$22,Oeko!DK337,Oeko!FX337)</f>
        <v>1</v>
      </c>
      <c r="AY337" s="1979">
        <f>IF(Construction!$F$31=Construction!$R$22,Oeko!DL337,Oeko!FY337)</f>
        <v>1</v>
      </c>
      <c r="AZ337" s="1979">
        <f>IF(Construction!$F$31=Construction!$R$22,Oeko!DM337,Oeko!FZ337)</f>
        <v>1</v>
      </c>
      <c r="BA337" s="1979">
        <f>IF(Construction!$F$31=Construction!$R$22,Oeko!DN337,Oeko!GA337)</f>
        <v>1</v>
      </c>
      <c r="BB337" s="1998">
        <f>IF(Construction!$F$31=Construction!$R$22,Oeko!DO337,Oeko!GB337)</f>
        <v>1</v>
      </c>
      <c r="BC337" s="1998">
        <f>IF(Construction!$F$31=Construction!$R$22,Oeko!DP337,Oeko!GC337)</f>
        <v>1</v>
      </c>
      <c r="BD337" s="1998">
        <f>IF(Construction!$F$31=Construction!$R$22,Oeko!DQ337,Oeko!GD337)</f>
        <v>1</v>
      </c>
      <c r="BE337" s="1998">
        <f>IF(Construction!$F$31=Construction!$R$22,Oeko!DR337,Oeko!GE337)</f>
        <v>1</v>
      </c>
      <c r="BF337" s="1998">
        <f>IF(Construction!$F$31=Construction!$R$22,Oeko!DS337,Oeko!GF337)</f>
        <v>1</v>
      </c>
      <c r="BG337" s="1979">
        <f>IF(Construction!$F$31=Construction!$R$22,Oeko!DT337,Oeko!GG337)</f>
        <v>1</v>
      </c>
      <c r="BH337" s="1979">
        <f>IF(Construction!$F$31=Construction!$R$22,Oeko!DU337,Oeko!GH337)</f>
        <v>1</v>
      </c>
      <c r="BI337" s="1979">
        <f>IF(Construction!$F$31=Construction!$R$22,Oeko!DV337,Oeko!GI337)</f>
        <v>1</v>
      </c>
      <c r="BJ337" s="1979">
        <f>IF(Construction!$F$31=Construction!$R$22,Oeko!DW337,Oeko!GJ337)</f>
        <v>1</v>
      </c>
      <c r="BK337" s="2021">
        <f>IF(Construction!$F$31=Construction!$R$22,Oeko!DX337,Oeko!GK337)</f>
        <v>1</v>
      </c>
      <c r="BN337" s="2022"/>
      <c r="BO337" s="2">
        <v>31</v>
      </c>
      <c r="BP337" s="2" t="str">
        <f>$AD$15</f>
        <v>Pieux en béton coulé sur place</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Pieux en béton coulé sur place</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Colonnes ballastées</v>
      </c>
      <c r="D338" s="1998">
        <f>IF(Construction!$F$31=Construction!$R$22,Oeko!BQ338,Oeko!ED338)</f>
        <v>1</v>
      </c>
      <c r="E338" s="1998">
        <f>IF(Construction!$F$31=Construction!$R$22,Oeko!BR338,Oeko!EE338)</f>
        <v>1</v>
      </c>
      <c r="F338" s="1998">
        <f>IF(Construction!$F$31=Construction!$R$22,Oeko!BS338,Oeko!EF338)</f>
        <v>1</v>
      </c>
      <c r="G338" s="1998">
        <f>IF(Construction!$F$31=Construction!$R$22,Oeko!BT338,Oeko!EG338)</f>
        <v>1</v>
      </c>
      <c r="H338" s="1998">
        <f>IF(Construction!$F$31=Construction!$R$22,Oeko!BU338,Oeko!EH338)</f>
        <v>1</v>
      </c>
      <c r="I338" s="1979">
        <f>IF(Construction!$F$31=Construction!$R$22,Oeko!BV338,Oeko!EI338)</f>
        <v>1</v>
      </c>
      <c r="J338" s="1979">
        <f>IF(Construction!$F$31=Construction!$R$22,Oeko!BW338,Oeko!EJ338)</f>
        <v>1</v>
      </c>
      <c r="K338" s="1979">
        <f>IF(Construction!$F$31=Construction!$R$22,Oeko!BX338,Oeko!EK338)</f>
        <v>1</v>
      </c>
      <c r="L338" s="1979">
        <f>IF(Construction!$F$31=Construction!$R$22,Oeko!BY338,Oeko!EL338)</f>
        <v>1</v>
      </c>
      <c r="M338" s="1979">
        <f>IF(Construction!$F$31=Construction!$R$22,Oeko!BZ338,Oeko!EM338)</f>
        <v>1</v>
      </c>
      <c r="N338" s="1998">
        <f>IF(Construction!$F$31=Construction!$R$22,Oeko!CA338,Oeko!EN338)</f>
        <v>1</v>
      </c>
      <c r="O338" s="1998">
        <f>IF(Construction!$F$31=Construction!$R$22,Oeko!CB338,Oeko!EO338)</f>
        <v>1</v>
      </c>
      <c r="P338" s="1998">
        <f>IF(Construction!$F$31=Construction!$R$22,Oeko!CC338,Oeko!EP338)</f>
        <v>1</v>
      </c>
      <c r="Q338" s="1998">
        <f>IF(Construction!$F$31=Construction!$R$22,Oeko!CD338,Oeko!EQ338)</f>
        <v>1</v>
      </c>
      <c r="R338" s="1998">
        <f>IF(Construction!$F$31=Construction!$R$22,Oeko!CE338,Oeko!ER338)</f>
        <v>1</v>
      </c>
      <c r="S338" s="1979">
        <f>IF(Construction!$F$31=Construction!$R$22,Oeko!CF338,Oeko!ES338)</f>
        <v>1</v>
      </c>
      <c r="T338" s="1979">
        <f>IF(Construction!$F$31=Construction!$R$22,Oeko!CG338,Oeko!ET338)</f>
        <v>1</v>
      </c>
      <c r="U338" s="1979">
        <f>IF(Construction!$F$31=Construction!$R$22,Oeko!CH338,Oeko!EU338)</f>
        <v>1</v>
      </c>
      <c r="V338" s="1979">
        <f>IF(Construction!$F$31=Construction!$R$22,Oeko!CI338,Oeko!EV338)</f>
        <v>1</v>
      </c>
      <c r="W338" s="1979">
        <f>IF(Construction!$F$31=Construction!$R$22,Oeko!CJ338,Oeko!EW338)</f>
        <v>1</v>
      </c>
      <c r="X338" s="1998">
        <f>IF(Construction!$F$31=Construction!$R$22,Oeko!CK338,Oeko!EX338)</f>
        <v>1</v>
      </c>
      <c r="Y338" s="1998">
        <f>IF(Construction!$F$31=Construction!$R$22,Oeko!CL338,Oeko!EY338)</f>
        <v>1</v>
      </c>
      <c r="Z338" s="1998">
        <f>IF(Construction!$F$31=Construction!$R$22,Oeko!CM338,Oeko!EZ338)</f>
        <v>1</v>
      </c>
      <c r="AA338" s="1998">
        <f>IF(Construction!$F$31=Construction!$R$22,Oeko!CN338,Oeko!FA338)</f>
        <v>1</v>
      </c>
      <c r="AB338" s="1998">
        <f>IF(Construction!$F$31=Construction!$R$22,Oeko!CO338,Oeko!FB338)</f>
        <v>1</v>
      </c>
      <c r="AC338" s="1979">
        <f>IF(Construction!$F$31=Construction!$R$22,Oeko!CP338,Oeko!FC338)</f>
        <v>1</v>
      </c>
      <c r="AD338" s="1979">
        <f>IF(Construction!$F$31=Construction!$R$22,Oeko!CQ338,Oeko!FD338)</f>
        <v>1</v>
      </c>
      <c r="AE338" s="1979">
        <f>IF(Construction!$F$31=Construction!$R$22,Oeko!CR338,Oeko!FE338)</f>
        <v>1</v>
      </c>
      <c r="AF338" s="1979">
        <f>IF(Construction!$F$31=Construction!$R$22,Oeko!CS338,Oeko!FF338)</f>
        <v>1</v>
      </c>
      <c r="AG338" s="1979">
        <f>IF(Construction!$F$31=Construction!$R$22,Oeko!CT338,Oeko!FG338)</f>
        <v>1</v>
      </c>
      <c r="AH338" s="1998">
        <f>IF(Construction!$F$31=Construction!$R$22,Oeko!CU338,Oeko!FH338)</f>
        <v>1</v>
      </c>
      <c r="AI338" s="1998">
        <f>IF(Construction!$F$31=Construction!$R$22,Oeko!CV338,Oeko!FI338)</f>
        <v>1</v>
      </c>
      <c r="AJ338" s="1998">
        <f>IF(Construction!$F$31=Construction!$R$22,Oeko!CW338,Oeko!FJ338)</f>
        <v>1</v>
      </c>
      <c r="AK338" s="1998">
        <f>IF(Construction!$F$31=Construction!$R$22,Oeko!CX338,Oeko!FK338)</f>
        <v>1</v>
      </c>
      <c r="AL338" s="1998">
        <f>IF(Construction!$F$31=Construction!$R$22,Oeko!CY338,Oeko!FL338)</f>
        <v>1</v>
      </c>
      <c r="AM338" s="1979">
        <f>IF(Construction!$F$31=Construction!$R$22,Oeko!CZ338,Oeko!FM338)</f>
        <v>1</v>
      </c>
      <c r="AN338" s="1979">
        <f>IF(Construction!$F$31=Construction!$R$22,Oeko!DA338,Oeko!FN338)</f>
        <v>1</v>
      </c>
      <c r="AO338" s="1979">
        <f>IF(Construction!$F$31=Construction!$R$22,Oeko!DB338,Oeko!FO338)</f>
        <v>1</v>
      </c>
      <c r="AP338" s="1979">
        <f>IF(Construction!$F$31=Construction!$R$22,Oeko!DC338,Oeko!FP338)</f>
        <v>1</v>
      </c>
      <c r="AQ338" s="1979">
        <f>IF(Construction!$F$31=Construction!$R$22,Oeko!DD338,Oeko!FQ338)</f>
        <v>1</v>
      </c>
      <c r="AR338" s="1998">
        <f>IF(Construction!$F$31=Construction!$R$22,Oeko!DE338,Oeko!FR338)</f>
        <v>1</v>
      </c>
      <c r="AS338" s="1998">
        <f>IF(Construction!$F$31=Construction!$R$22,Oeko!DF338,Oeko!FS338)</f>
        <v>1</v>
      </c>
      <c r="AT338" s="1998">
        <f>IF(Construction!$F$31=Construction!$R$22,Oeko!DG338,Oeko!FT338)</f>
        <v>1</v>
      </c>
      <c r="AU338" s="1998">
        <f>IF(Construction!$F$31=Construction!$R$22,Oeko!DH338,Oeko!FU338)</f>
        <v>1</v>
      </c>
      <c r="AV338" s="1998">
        <f>IF(Construction!$F$31=Construction!$R$22,Oeko!DI338,Oeko!FV338)</f>
        <v>1</v>
      </c>
      <c r="AW338" s="1979">
        <f>IF(Construction!$F$31=Construction!$R$22,Oeko!DJ338,Oeko!FW338)</f>
        <v>1</v>
      </c>
      <c r="AX338" s="1979">
        <f>IF(Construction!$F$31=Construction!$R$22,Oeko!DK338,Oeko!FX338)</f>
        <v>1</v>
      </c>
      <c r="AY338" s="1979">
        <f>IF(Construction!$F$31=Construction!$R$22,Oeko!DL338,Oeko!FY338)</f>
        <v>1</v>
      </c>
      <c r="AZ338" s="1979">
        <f>IF(Construction!$F$31=Construction!$R$22,Oeko!DM338,Oeko!FZ338)</f>
        <v>1</v>
      </c>
      <c r="BA338" s="1979">
        <f>IF(Construction!$F$31=Construction!$R$22,Oeko!DN338,Oeko!GA338)</f>
        <v>1</v>
      </c>
      <c r="BB338" s="1998">
        <f>IF(Construction!$F$31=Construction!$R$22,Oeko!DO338,Oeko!GB338)</f>
        <v>1</v>
      </c>
      <c r="BC338" s="1998">
        <f>IF(Construction!$F$31=Construction!$R$22,Oeko!DP338,Oeko!GC338)</f>
        <v>1</v>
      </c>
      <c r="BD338" s="1998">
        <f>IF(Construction!$F$31=Construction!$R$22,Oeko!DQ338,Oeko!GD338)</f>
        <v>1</v>
      </c>
      <c r="BE338" s="1998">
        <f>IF(Construction!$F$31=Construction!$R$22,Oeko!DR338,Oeko!GE338)</f>
        <v>1</v>
      </c>
      <c r="BF338" s="1998">
        <f>IF(Construction!$F$31=Construction!$R$22,Oeko!DS338,Oeko!GF338)</f>
        <v>1</v>
      </c>
      <c r="BG338" s="1979">
        <f>IF(Construction!$F$31=Construction!$R$22,Oeko!DT338,Oeko!GG338)</f>
        <v>1</v>
      </c>
      <c r="BH338" s="1979">
        <f>IF(Construction!$F$31=Construction!$R$22,Oeko!DU338,Oeko!GH338)</f>
        <v>1</v>
      </c>
      <c r="BI338" s="1979">
        <f>IF(Construction!$F$31=Construction!$R$22,Oeko!DV338,Oeko!GI338)</f>
        <v>1</v>
      </c>
      <c r="BJ338" s="1979">
        <f>IF(Construction!$F$31=Construction!$R$22,Oeko!DW338,Oeko!GJ338)</f>
        <v>1</v>
      </c>
      <c r="BK338" s="2021">
        <f>IF(Construction!$F$31=Construction!$R$22,Oeko!DX338,Oeko!GK338)</f>
        <v>1</v>
      </c>
      <c r="BN338" s="2022"/>
      <c r="BO338" s="2">
        <v>32</v>
      </c>
      <c r="BP338" s="2" t="str">
        <f>$AD$16</f>
        <v>Colonnes ballastées</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Colonnes ballastées</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Pieu en béton préfabriqué (battus)</v>
      </c>
      <c r="D339" s="1998">
        <f>IF(Construction!$F$31=Construction!$R$22,Oeko!BQ339,Oeko!ED339)</f>
        <v>1</v>
      </c>
      <c r="E339" s="1998">
        <f>IF(Construction!$F$31=Construction!$R$22,Oeko!BR339,Oeko!EE339)</f>
        <v>1</v>
      </c>
      <c r="F339" s="1998">
        <f>IF(Construction!$F$31=Construction!$R$22,Oeko!BS339,Oeko!EF339)</f>
        <v>1</v>
      </c>
      <c r="G339" s="1998">
        <f>IF(Construction!$F$31=Construction!$R$22,Oeko!BT339,Oeko!EG339)</f>
        <v>1</v>
      </c>
      <c r="H339" s="1998">
        <f>IF(Construction!$F$31=Construction!$R$22,Oeko!BU339,Oeko!EH339)</f>
        <v>1</v>
      </c>
      <c r="I339" s="1979">
        <f>IF(Construction!$F$31=Construction!$R$22,Oeko!BV339,Oeko!EI339)</f>
        <v>1</v>
      </c>
      <c r="J339" s="1979">
        <f>IF(Construction!$F$31=Construction!$R$22,Oeko!BW339,Oeko!EJ339)</f>
        <v>1</v>
      </c>
      <c r="K339" s="1979">
        <f>IF(Construction!$F$31=Construction!$R$22,Oeko!BX339,Oeko!EK339)</f>
        <v>1</v>
      </c>
      <c r="L339" s="1979">
        <f>IF(Construction!$F$31=Construction!$R$22,Oeko!BY339,Oeko!EL339)</f>
        <v>1</v>
      </c>
      <c r="M339" s="1979">
        <f>IF(Construction!$F$31=Construction!$R$22,Oeko!BZ339,Oeko!EM339)</f>
        <v>1</v>
      </c>
      <c r="N339" s="1998">
        <f>IF(Construction!$F$31=Construction!$R$22,Oeko!CA339,Oeko!EN339)</f>
        <v>1</v>
      </c>
      <c r="O339" s="1998">
        <f>IF(Construction!$F$31=Construction!$R$22,Oeko!CB339,Oeko!EO339)</f>
        <v>1</v>
      </c>
      <c r="P339" s="1998">
        <f>IF(Construction!$F$31=Construction!$R$22,Oeko!CC339,Oeko!EP339)</f>
        <v>1</v>
      </c>
      <c r="Q339" s="1998">
        <f>IF(Construction!$F$31=Construction!$R$22,Oeko!CD339,Oeko!EQ339)</f>
        <v>1</v>
      </c>
      <c r="R339" s="1998">
        <f>IF(Construction!$F$31=Construction!$R$22,Oeko!CE339,Oeko!ER339)</f>
        <v>1</v>
      </c>
      <c r="S339" s="1979">
        <f>IF(Construction!$F$31=Construction!$R$22,Oeko!CF339,Oeko!ES339)</f>
        <v>1</v>
      </c>
      <c r="T339" s="1979">
        <f>IF(Construction!$F$31=Construction!$R$22,Oeko!CG339,Oeko!ET339)</f>
        <v>1</v>
      </c>
      <c r="U339" s="1979">
        <f>IF(Construction!$F$31=Construction!$R$22,Oeko!CH339,Oeko!EU339)</f>
        <v>1</v>
      </c>
      <c r="V339" s="1979">
        <f>IF(Construction!$F$31=Construction!$R$22,Oeko!CI339,Oeko!EV339)</f>
        <v>1</v>
      </c>
      <c r="W339" s="1979">
        <f>IF(Construction!$F$31=Construction!$R$22,Oeko!CJ339,Oeko!EW339)</f>
        <v>1</v>
      </c>
      <c r="X339" s="1998">
        <f>IF(Construction!$F$31=Construction!$R$22,Oeko!CK339,Oeko!EX339)</f>
        <v>1</v>
      </c>
      <c r="Y339" s="1998">
        <f>IF(Construction!$F$31=Construction!$R$22,Oeko!CL339,Oeko!EY339)</f>
        <v>1</v>
      </c>
      <c r="Z339" s="1998">
        <f>IF(Construction!$F$31=Construction!$R$22,Oeko!CM339,Oeko!EZ339)</f>
        <v>1</v>
      </c>
      <c r="AA339" s="1998">
        <f>IF(Construction!$F$31=Construction!$R$22,Oeko!CN339,Oeko!FA339)</f>
        <v>1</v>
      </c>
      <c r="AB339" s="1998">
        <f>IF(Construction!$F$31=Construction!$R$22,Oeko!CO339,Oeko!FB339)</f>
        <v>1</v>
      </c>
      <c r="AC339" s="1979">
        <f>IF(Construction!$F$31=Construction!$R$22,Oeko!CP339,Oeko!FC339)</f>
        <v>1</v>
      </c>
      <c r="AD339" s="1979">
        <f>IF(Construction!$F$31=Construction!$R$22,Oeko!CQ339,Oeko!FD339)</f>
        <v>1</v>
      </c>
      <c r="AE339" s="1979">
        <f>IF(Construction!$F$31=Construction!$R$22,Oeko!CR339,Oeko!FE339)</f>
        <v>1</v>
      </c>
      <c r="AF339" s="1979">
        <f>IF(Construction!$F$31=Construction!$R$22,Oeko!CS339,Oeko!FF339)</f>
        <v>1</v>
      </c>
      <c r="AG339" s="1979">
        <f>IF(Construction!$F$31=Construction!$R$22,Oeko!CT339,Oeko!FG339)</f>
        <v>1</v>
      </c>
      <c r="AH339" s="1998">
        <f>IF(Construction!$F$31=Construction!$R$22,Oeko!CU339,Oeko!FH339)</f>
        <v>1</v>
      </c>
      <c r="AI339" s="1998">
        <f>IF(Construction!$F$31=Construction!$R$22,Oeko!CV339,Oeko!FI339)</f>
        <v>1</v>
      </c>
      <c r="AJ339" s="1998">
        <f>IF(Construction!$F$31=Construction!$R$22,Oeko!CW339,Oeko!FJ339)</f>
        <v>1</v>
      </c>
      <c r="AK339" s="1998">
        <f>IF(Construction!$F$31=Construction!$R$22,Oeko!CX339,Oeko!FK339)</f>
        <v>1</v>
      </c>
      <c r="AL339" s="1998">
        <f>IF(Construction!$F$31=Construction!$R$22,Oeko!CY339,Oeko!FL339)</f>
        <v>1</v>
      </c>
      <c r="AM339" s="1979">
        <f>IF(Construction!$F$31=Construction!$R$22,Oeko!CZ339,Oeko!FM339)</f>
        <v>1</v>
      </c>
      <c r="AN339" s="1979">
        <f>IF(Construction!$F$31=Construction!$R$22,Oeko!DA339,Oeko!FN339)</f>
        <v>1</v>
      </c>
      <c r="AO339" s="1979">
        <f>IF(Construction!$F$31=Construction!$R$22,Oeko!DB339,Oeko!FO339)</f>
        <v>1</v>
      </c>
      <c r="AP339" s="1979">
        <f>IF(Construction!$F$31=Construction!$R$22,Oeko!DC339,Oeko!FP339)</f>
        <v>1</v>
      </c>
      <c r="AQ339" s="1979">
        <f>IF(Construction!$F$31=Construction!$R$22,Oeko!DD339,Oeko!FQ339)</f>
        <v>1</v>
      </c>
      <c r="AR339" s="1998">
        <f>IF(Construction!$F$31=Construction!$R$22,Oeko!DE339,Oeko!FR339)</f>
        <v>1</v>
      </c>
      <c r="AS339" s="1998">
        <f>IF(Construction!$F$31=Construction!$R$22,Oeko!DF339,Oeko!FS339)</f>
        <v>1</v>
      </c>
      <c r="AT339" s="1998">
        <f>IF(Construction!$F$31=Construction!$R$22,Oeko!DG339,Oeko!FT339)</f>
        <v>1</v>
      </c>
      <c r="AU339" s="1998">
        <f>IF(Construction!$F$31=Construction!$R$22,Oeko!DH339,Oeko!FU339)</f>
        <v>1</v>
      </c>
      <c r="AV339" s="1998">
        <f>IF(Construction!$F$31=Construction!$R$22,Oeko!DI339,Oeko!FV339)</f>
        <v>1</v>
      </c>
      <c r="AW339" s="1979">
        <f>IF(Construction!$F$31=Construction!$R$22,Oeko!DJ339,Oeko!FW339)</f>
        <v>1</v>
      </c>
      <c r="AX339" s="1979">
        <f>IF(Construction!$F$31=Construction!$R$22,Oeko!DK339,Oeko!FX339)</f>
        <v>1</v>
      </c>
      <c r="AY339" s="1979">
        <f>IF(Construction!$F$31=Construction!$R$22,Oeko!DL339,Oeko!FY339)</f>
        <v>1</v>
      </c>
      <c r="AZ339" s="1979">
        <f>IF(Construction!$F$31=Construction!$R$22,Oeko!DM339,Oeko!FZ339)</f>
        <v>1</v>
      </c>
      <c r="BA339" s="1979">
        <f>IF(Construction!$F$31=Construction!$R$22,Oeko!DN339,Oeko!GA339)</f>
        <v>1</v>
      </c>
      <c r="BB339" s="1998">
        <f>IF(Construction!$F$31=Construction!$R$22,Oeko!DO339,Oeko!GB339)</f>
        <v>1</v>
      </c>
      <c r="BC339" s="1998">
        <f>IF(Construction!$F$31=Construction!$R$22,Oeko!DP339,Oeko!GC339)</f>
        <v>1</v>
      </c>
      <c r="BD339" s="1998">
        <f>IF(Construction!$F$31=Construction!$R$22,Oeko!DQ339,Oeko!GD339)</f>
        <v>1</v>
      </c>
      <c r="BE339" s="1998">
        <f>IF(Construction!$F$31=Construction!$R$22,Oeko!DR339,Oeko!GE339)</f>
        <v>1</v>
      </c>
      <c r="BF339" s="1998">
        <f>IF(Construction!$F$31=Construction!$R$22,Oeko!DS339,Oeko!GF339)</f>
        <v>1</v>
      </c>
      <c r="BG339" s="1979">
        <f>IF(Construction!$F$31=Construction!$R$22,Oeko!DT339,Oeko!GG339)</f>
        <v>1</v>
      </c>
      <c r="BH339" s="1979">
        <f>IF(Construction!$F$31=Construction!$R$22,Oeko!DU339,Oeko!GH339)</f>
        <v>1</v>
      </c>
      <c r="BI339" s="1979">
        <f>IF(Construction!$F$31=Construction!$R$22,Oeko!DV339,Oeko!GI339)</f>
        <v>1</v>
      </c>
      <c r="BJ339" s="1979">
        <f>IF(Construction!$F$31=Construction!$R$22,Oeko!DW339,Oeko!GJ339)</f>
        <v>1</v>
      </c>
      <c r="BK339" s="2021">
        <f>IF(Construction!$F$31=Construction!$R$22,Oeko!DX339,Oeko!GK339)</f>
        <v>1</v>
      </c>
      <c r="BN339" s="2022"/>
      <c r="BO339" s="2">
        <v>33</v>
      </c>
      <c r="BP339" s="2" t="str">
        <f>$AD$17</f>
        <v>Pieu en béton préfabriqué (battus)</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Pieu en béton préfabriqué (battus)</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IF(Construction!$F$31=Construction!$R$22,Oeko!BQ340,Oeko!ED340)</f>
        <v>1</v>
      </c>
      <c r="E340" s="1998">
        <f>IF(Construction!$F$31=Construction!$R$22,Oeko!BR340,Oeko!EE340)</f>
        <v>1</v>
      </c>
      <c r="F340" s="1998">
        <f>IF(Construction!$F$31=Construction!$R$22,Oeko!BS340,Oeko!EF340)</f>
        <v>1</v>
      </c>
      <c r="G340" s="1998">
        <f>IF(Construction!$F$31=Construction!$R$22,Oeko!BT340,Oeko!EG340)</f>
        <v>1</v>
      </c>
      <c r="H340" s="1998">
        <f>IF(Construction!$F$31=Construction!$R$22,Oeko!BU340,Oeko!EH340)</f>
        <v>1</v>
      </c>
      <c r="I340" s="1979">
        <f>IF(Construction!$F$31=Construction!$R$22,Oeko!BV340,Oeko!EI340)</f>
        <v>1</v>
      </c>
      <c r="J340" s="1979">
        <f>IF(Construction!$F$31=Construction!$R$22,Oeko!BW340,Oeko!EJ340)</f>
        <v>1</v>
      </c>
      <c r="K340" s="1979">
        <f>IF(Construction!$F$31=Construction!$R$22,Oeko!BX340,Oeko!EK340)</f>
        <v>1</v>
      </c>
      <c r="L340" s="1979">
        <f>IF(Construction!$F$31=Construction!$R$22,Oeko!BY340,Oeko!EL340)</f>
        <v>1</v>
      </c>
      <c r="M340" s="1979">
        <f>IF(Construction!$F$31=Construction!$R$22,Oeko!BZ340,Oeko!EM340)</f>
        <v>1</v>
      </c>
      <c r="N340" s="1998">
        <f>IF(Construction!$F$31=Construction!$R$22,Oeko!CA340,Oeko!EN340)</f>
        <v>1</v>
      </c>
      <c r="O340" s="1998">
        <f>IF(Construction!$F$31=Construction!$R$22,Oeko!CB340,Oeko!EO340)</f>
        <v>1</v>
      </c>
      <c r="P340" s="1998">
        <f>IF(Construction!$F$31=Construction!$R$22,Oeko!CC340,Oeko!EP340)</f>
        <v>1</v>
      </c>
      <c r="Q340" s="1998">
        <f>IF(Construction!$F$31=Construction!$R$22,Oeko!CD340,Oeko!EQ340)</f>
        <v>1</v>
      </c>
      <c r="R340" s="1998">
        <f>IF(Construction!$F$31=Construction!$R$22,Oeko!CE340,Oeko!ER340)</f>
        <v>1</v>
      </c>
      <c r="S340" s="1979">
        <f>IF(Construction!$F$31=Construction!$R$22,Oeko!CF340,Oeko!ES340)</f>
        <v>1</v>
      </c>
      <c r="T340" s="1979">
        <f>IF(Construction!$F$31=Construction!$R$22,Oeko!CG340,Oeko!ET340)</f>
        <v>1</v>
      </c>
      <c r="U340" s="1979">
        <f>IF(Construction!$F$31=Construction!$R$22,Oeko!CH340,Oeko!EU340)</f>
        <v>1</v>
      </c>
      <c r="V340" s="1979">
        <f>IF(Construction!$F$31=Construction!$R$22,Oeko!CI340,Oeko!EV340)</f>
        <v>1</v>
      </c>
      <c r="W340" s="1979">
        <f>IF(Construction!$F$31=Construction!$R$22,Oeko!CJ340,Oeko!EW340)</f>
        <v>1</v>
      </c>
      <c r="X340" s="1998">
        <f>IF(Construction!$F$31=Construction!$R$22,Oeko!CK340,Oeko!EX340)</f>
        <v>1</v>
      </c>
      <c r="Y340" s="1998">
        <f>IF(Construction!$F$31=Construction!$R$22,Oeko!CL340,Oeko!EY340)</f>
        <v>1</v>
      </c>
      <c r="Z340" s="1998">
        <f>IF(Construction!$F$31=Construction!$R$22,Oeko!CM340,Oeko!EZ340)</f>
        <v>1</v>
      </c>
      <c r="AA340" s="1998">
        <f>IF(Construction!$F$31=Construction!$R$22,Oeko!CN340,Oeko!FA340)</f>
        <v>1</v>
      </c>
      <c r="AB340" s="1998">
        <f>IF(Construction!$F$31=Construction!$R$22,Oeko!CO340,Oeko!FB340)</f>
        <v>1</v>
      </c>
      <c r="AC340" s="1979">
        <f>IF(Construction!$F$31=Construction!$R$22,Oeko!CP340,Oeko!FC340)</f>
        <v>1</v>
      </c>
      <c r="AD340" s="1979">
        <f>IF(Construction!$F$31=Construction!$R$22,Oeko!CQ340,Oeko!FD340)</f>
        <v>1</v>
      </c>
      <c r="AE340" s="1979">
        <f>IF(Construction!$F$31=Construction!$R$22,Oeko!CR340,Oeko!FE340)</f>
        <v>1</v>
      </c>
      <c r="AF340" s="1979">
        <f>IF(Construction!$F$31=Construction!$R$22,Oeko!CS340,Oeko!FF340)</f>
        <v>1</v>
      </c>
      <c r="AG340" s="1979">
        <f>IF(Construction!$F$31=Construction!$R$22,Oeko!CT340,Oeko!FG340)</f>
        <v>1</v>
      </c>
      <c r="AH340" s="1998">
        <f>IF(Construction!$F$31=Construction!$R$22,Oeko!CU340,Oeko!FH340)</f>
        <v>1</v>
      </c>
      <c r="AI340" s="1998">
        <f>IF(Construction!$F$31=Construction!$R$22,Oeko!CV340,Oeko!FI340)</f>
        <v>1</v>
      </c>
      <c r="AJ340" s="1998">
        <f>IF(Construction!$F$31=Construction!$R$22,Oeko!CW340,Oeko!FJ340)</f>
        <v>1</v>
      </c>
      <c r="AK340" s="1998">
        <f>IF(Construction!$F$31=Construction!$R$22,Oeko!CX340,Oeko!FK340)</f>
        <v>1</v>
      </c>
      <c r="AL340" s="1998">
        <f>IF(Construction!$F$31=Construction!$R$22,Oeko!CY340,Oeko!FL340)</f>
        <v>1</v>
      </c>
      <c r="AM340" s="1979">
        <f>IF(Construction!$F$31=Construction!$R$22,Oeko!CZ340,Oeko!FM340)</f>
        <v>1</v>
      </c>
      <c r="AN340" s="1979">
        <f>IF(Construction!$F$31=Construction!$R$22,Oeko!DA340,Oeko!FN340)</f>
        <v>1</v>
      </c>
      <c r="AO340" s="1979">
        <f>IF(Construction!$F$31=Construction!$R$22,Oeko!DB340,Oeko!FO340)</f>
        <v>1</v>
      </c>
      <c r="AP340" s="1979">
        <f>IF(Construction!$F$31=Construction!$R$22,Oeko!DC340,Oeko!FP340)</f>
        <v>1</v>
      </c>
      <c r="AQ340" s="1979">
        <f>IF(Construction!$F$31=Construction!$R$22,Oeko!DD340,Oeko!FQ340)</f>
        <v>1</v>
      </c>
      <c r="AR340" s="1998">
        <f>IF(Construction!$F$31=Construction!$R$22,Oeko!DE340,Oeko!FR340)</f>
        <v>1</v>
      </c>
      <c r="AS340" s="1998">
        <f>IF(Construction!$F$31=Construction!$R$22,Oeko!DF340,Oeko!FS340)</f>
        <v>1</v>
      </c>
      <c r="AT340" s="1998">
        <f>IF(Construction!$F$31=Construction!$R$22,Oeko!DG340,Oeko!FT340)</f>
        <v>1</v>
      </c>
      <c r="AU340" s="1998">
        <f>IF(Construction!$F$31=Construction!$R$22,Oeko!DH340,Oeko!FU340)</f>
        <v>1</v>
      </c>
      <c r="AV340" s="1998">
        <f>IF(Construction!$F$31=Construction!$R$22,Oeko!DI340,Oeko!FV340)</f>
        <v>1</v>
      </c>
      <c r="AW340" s="1979">
        <f>IF(Construction!$F$31=Construction!$R$22,Oeko!DJ340,Oeko!FW340)</f>
        <v>1</v>
      </c>
      <c r="AX340" s="1979">
        <f>IF(Construction!$F$31=Construction!$R$22,Oeko!DK340,Oeko!FX340)</f>
        <v>1</v>
      </c>
      <c r="AY340" s="1979">
        <f>IF(Construction!$F$31=Construction!$R$22,Oeko!DL340,Oeko!FY340)</f>
        <v>1</v>
      </c>
      <c r="AZ340" s="1979">
        <f>IF(Construction!$F$31=Construction!$R$22,Oeko!DM340,Oeko!FZ340)</f>
        <v>1</v>
      </c>
      <c r="BA340" s="1979">
        <f>IF(Construction!$F$31=Construction!$R$22,Oeko!DN340,Oeko!GA340)</f>
        <v>1</v>
      </c>
      <c r="BB340" s="1998">
        <f>IF(Construction!$F$31=Construction!$R$22,Oeko!DO340,Oeko!GB340)</f>
        <v>1</v>
      </c>
      <c r="BC340" s="1998">
        <f>IF(Construction!$F$31=Construction!$R$22,Oeko!DP340,Oeko!GC340)</f>
        <v>1</v>
      </c>
      <c r="BD340" s="1998">
        <f>IF(Construction!$F$31=Construction!$R$22,Oeko!DQ340,Oeko!GD340)</f>
        <v>1</v>
      </c>
      <c r="BE340" s="1998">
        <f>IF(Construction!$F$31=Construction!$R$22,Oeko!DR340,Oeko!GE340)</f>
        <v>1</v>
      </c>
      <c r="BF340" s="1998">
        <f>IF(Construction!$F$31=Construction!$R$22,Oeko!DS340,Oeko!GF340)</f>
        <v>1</v>
      </c>
      <c r="BG340" s="1979">
        <f>IF(Construction!$F$31=Construction!$R$22,Oeko!DT340,Oeko!GG340)</f>
        <v>1</v>
      </c>
      <c r="BH340" s="1979">
        <f>IF(Construction!$F$31=Construction!$R$22,Oeko!DU340,Oeko!GH340)</f>
        <v>1</v>
      </c>
      <c r="BI340" s="1979">
        <f>IF(Construction!$F$31=Construction!$R$22,Oeko!DV340,Oeko!GI340)</f>
        <v>1</v>
      </c>
      <c r="BJ340" s="1979">
        <f>IF(Construction!$F$31=Construction!$R$22,Oeko!DW340,Oeko!GJ340)</f>
        <v>1</v>
      </c>
      <c r="BK340" s="2021">
        <f>IF(Construction!$F$31=Construction!$R$22,Oeko!DX340,Oeko!GK340)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IF(Construction!$F$31=Construction!$R$22,Oeko!BQ341,Oeko!ED341)</f>
        <v>1</v>
      </c>
      <c r="E341" s="1998">
        <f>IF(Construction!$F$31=Construction!$R$22,Oeko!BR341,Oeko!EE341)</f>
        <v>1</v>
      </c>
      <c r="F341" s="1998">
        <f>IF(Construction!$F$31=Construction!$R$22,Oeko!BS341,Oeko!EF341)</f>
        <v>1</v>
      </c>
      <c r="G341" s="1998">
        <f>IF(Construction!$F$31=Construction!$R$22,Oeko!BT341,Oeko!EG341)</f>
        <v>1</v>
      </c>
      <c r="H341" s="1998">
        <f>IF(Construction!$F$31=Construction!$R$22,Oeko!BU341,Oeko!EH341)</f>
        <v>1</v>
      </c>
      <c r="I341" s="1979">
        <f>IF(Construction!$F$31=Construction!$R$22,Oeko!BV341,Oeko!EI341)</f>
        <v>1</v>
      </c>
      <c r="J341" s="1979">
        <f>IF(Construction!$F$31=Construction!$R$22,Oeko!BW341,Oeko!EJ341)</f>
        <v>1</v>
      </c>
      <c r="K341" s="1979">
        <f>IF(Construction!$F$31=Construction!$R$22,Oeko!BX341,Oeko!EK341)</f>
        <v>1</v>
      </c>
      <c r="L341" s="1979">
        <f>IF(Construction!$F$31=Construction!$R$22,Oeko!BY341,Oeko!EL341)</f>
        <v>1</v>
      </c>
      <c r="M341" s="1979">
        <f>IF(Construction!$F$31=Construction!$R$22,Oeko!BZ341,Oeko!EM341)</f>
        <v>1</v>
      </c>
      <c r="N341" s="1998">
        <f>IF(Construction!$F$31=Construction!$R$22,Oeko!CA341,Oeko!EN341)</f>
        <v>1</v>
      </c>
      <c r="O341" s="1998">
        <f>IF(Construction!$F$31=Construction!$R$22,Oeko!CB341,Oeko!EO341)</f>
        <v>1</v>
      </c>
      <c r="P341" s="1998">
        <f>IF(Construction!$F$31=Construction!$R$22,Oeko!CC341,Oeko!EP341)</f>
        <v>1</v>
      </c>
      <c r="Q341" s="1998">
        <f>IF(Construction!$F$31=Construction!$R$22,Oeko!CD341,Oeko!EQ341)</f>
        <v>1</v>
      </c>
      <c r="R341" s="1998">
        <f>IF(Construction!$F$31=Construction!$R$22,Oeko!CE341,Oeko!ER341)</f>
        <v>1</v>
      </c>
      <c r="S341" s="1979">
        <f>IF(Construction!$F$31=Construction!$R$22,Oeko!CF341,Oeko!ES341)</f>
        <v>1</v>
      </c>
      <c r="T341" s="1979">
        <f>IF(Construction!$F$31=Construction!$R$22,Oeko!CG341,Oeko!ET341)</f>
        <v>1</v>
      </c>
      <c r="U341" s="1979">
        <f>IF(Construction!$F$31=Construction!$R$22,Oeko!CH341,Oeko!EU341)</f>
        <v>1</v>
      </c>
      <c r="V341" s="1979">
        <f>IF(Construction!$F$31=Construction!$R$22,Oeko!CI341,Oeko!EV341)</f>
        <v>1</v>
      </c>
      <c r="W341" s="1979">
        <f>IF(Construction!$F$31=Construction!$R$22,Oeko!CJ341,Oeko!EW341)</f>
        <v>1</v>
      </c>
      <c r="X341" s="1998">
        <f>IF(Construction!$F$31=Construction!$R$22,Oeko!CK341,Oeko!EX341)</f>
        <v>1</v>
      </c>
      <c r="Y341" s="1998">
        <f>IF(Construction!$F$31=Construction!$R$22,Oeko!CL341,Oeko!EY341)</f>
        <v>1</v>
      </c>
      <c r="Z341" s="1998">
        <f>IF(Construction!$F$31=Construction!$R$22,Oeko!CM341,Oeko!EZ341)</f>
        <v>1</v>
      </c>
      <c r="AA341" s="1998">
        <f>IF(Construction!$F$31=Construction!$R$22,Oeko!CN341,Oeko!FA341)</f>
        <v>1</v>
      </c>
      <c r="AB341" s="1998">
        <f>IF(Construction!$F$31=Construction!$R$22,Oeko!CO341,Oeko!FB341)</f>
        <v>1</v>
      </c>
      <c r="AC341" s="1979">
        <f>IF(Construction!$F$31=Construction!$R$22,Oeko!CP341,Oeko!FC341)</f>
        <v>1</v>
      </c>
      <c r="AD341" s="1979">
        <f>IF(Construction!$F$31=Construction!$R$22,Oeko!CQ341,Oeko!FD341)</f>
        <v>1</v>
      </c>
      <c r="AE341" s="1979">
        <f>IF(Construction!$F$31=Construction!$R$22,Oeko!CR341,Oeko!FE341)</f>
        <v>1</v>
      </c>
      <c r="AF341" s="1979">
        <f>IF(Construction!$F$31=Construction!$R$22,Oeko!CS341,Oeko!FF341)</f>
        <v>1</v>
      </c>
      <c r="AG341" s="1979">
        <f>IF(Construction!$F$31=Construction!$R$22,Oeko!CT341,Oeko!FG341)</f>
        <v>1</v>
      </c>
      <c r="AH341" s="1998">
        <f>IF(Construction!$F$31=Construction!$R$22,Oeko!CU341,Oeko!FH341)</f>
        <v>1</v>
      </c>
      <c r="AI341" s="1998">
        <f>IF(Construction!$F$31=Construction!$R$22,Oeko!CV341,Oeko!FI341)</f>
        <v>1</v>
      </c>
      <c r="AJ341" s="1998">
        <f>IF(Construction!$F$31=Construction!$R$22,Oeko!CW341,Oeko!FJ341)</f>
        <v>1</v>
      </c>
      <c r="AK341" s="1998">
        <f>IF(Construction!$F$31=Construction!$R$22,Oeko!CX341,Oeko!FK341)</f>
        <v>1</v>
      </c>
      <c r="AL341" s="1998">
        <f>IF(Construction!$F$31=Construction!$R$22,Oeko!CY341,Oeko!FL341)</f>
        <v>1</v>
      </c>
      <c r="AM341" s="1979">
        <f>IF(Construction!$F$31=Construction!$R$22,Oeko!CZ341,Oeko!FM341)</f>
        <v>1</v>
      </c>
      <c r="AN341" s="1979">
        <f>IF(Construction!$F$31=Construction!$R$22,Oeko!DA341,Oeko!FN341)</f>
        <v>1</v>
      </c>
      <c r="AO341" s="1979">
        <f>IF(Construction!$F$31=Construction!$R$22,Oeko!DB341,Oeko!FO341)</f>
        <v>1</v>
      </c>
      <c r="AP341" s="1979">
        <f>IF(Construction!$F$31=Construction!$R$22,Oeko!DC341,Oeko!FP341)</f>
        <v>1</v>
      </c>
      <c r="AQ341" s="1979">
        <f>IF(Construction!$F$31=Construction!$R$22,Oeko!DD341,Oeko!FQ341)</f>
        <v>1</v>
      </c>
      <c r="AR341" s="1998">
        <f>IF(Construction!$F$31=Construction!$R$22,Oeko!DE341,Oeko!FR341)</f>
        <v>1</v>
      </c>
      <c r="AS341" s="1998">
        <f>IF(Construction!$F$31=Construction!$R$22,Oeko!DF341,Oeko!FS341)</f>
        <v>1</v>
      </c>
      <c r="AT341" s="1998">
        <f>IF(Construction!$F$31=Construction!$R$22,Oeko!DG341,Oeko!FT341)</f>
        <v>1</v>
      </c>
      <c r="AU341" s="1998">
        <f>IF(Construction!$F$31=Construction!$R$22,Oeko!DH341,Oeko!FU341)</f>
        <v>1</v>
      </c>
      <c r="AV341" s="1998">
        <f>IF(Construction!$F$31=Construction!$R$22,Oeko!DI341,Oeko!FV341)</f>
        <v>1</v>
      </c>
      <c r="AW341" s="1979">
        <f>IF(Construction!$F$31=Construction!$R$22,Oeko!DJ341,Oeko!FW341)</f>
        <v>1</v>
      </c>
      <c r="AX341" s="1979">
        <f>IF(Construction!$F$31=Construction!$R$22,Oeko!DK341,Oeko!FX341)</f>
        <v>1</v>
      </c>
      <c r="AY341" s="1979">
        <f>IF(Construction!$F$31=Construction!$R$22,Oeko!DL341,Oeko!FY341)</f>
        <v>1</v>
      </c>
      <c r="AZ341" s="1979">
        <f>IF(Construction!$F$31=Construction!$R$22,Oeko!DM341,Oeko!FZ341)</f>
        <v>1</v>
      </c>
      <c r="BA341" s="1979">
        <f>IF(Construction!$F$31=Construction!$R$22,Oeko!DN341,Oeko!GA341)</f>
        <v>1</v>
      </c>
      <c r="BB341" s="1998">
        <f>IF(Construction!$F$31=Construction!$R$22,Oeko!DO341,Oeko!GB341)</f>
        <v>1</v>
      </c>
      <c r="BC341" s="1998">
        <f>IF(Construction!$F$31=Construction!$R$22,Oeko!DP341,Oeko!GC341)</f>
        <v>1</v>
      </c>
      <c r="BD341" s="1998">
        <f>IF(Construction!$F$31=Construction!$R$22,Oeko!DQ341,Oeko!GD341)</f>
        <v>1</v>
      </c>
      <c r="BE341" s="1998">
        <f>IF(Construction!$F$31=Construction!$R$22,Oeko!DR341,Oeko!GE341)</f>
        <v>1</v>
      </c>
      <c r="BF341" s="1998">
        <f>IF(Construction!$F$31=Construction!$R$22,Oeko!DS341,Oeko!GF341)</f>
        <v>1</v>
      </c>
      <c r="BG341" s="1979">
        <f>IF(Construction!$F$31=Construction!$R$22,Oeko!DT341,Oeko!GG341)</f>
        <v>1</v>
      </c>
      <c r="BH341" s="1979">
        <f>IF(Construction!$F$31=Construction!$R$22,Oeko!DU341,Oeko!GH341)</f>
        <v>1</v>
      </c>
      <c r="BI341" s="1979">
        <f>IF(Construction!$F$31=Construction!$R$22,Oeko!DV341,Oeko!GI341)</f>
        <v>1</v>
      </c>
      <c r="BJ341" s="1979">
        <f>IF(Construction!$F$31=Construction!$R$22,Oeko!DW341,Oeko!GJ341)</f>
        <v>1</v>
      </c>
      <c r="BK341" s="2021">
        <f>IF(Construction!$F$31=Construction!$R$22,Oeko!DX341,Oeko!GK341)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IF(Construction!$F$31=Construction!$R$22,Oeko!BQ342,Oeko!ED342)</f>
        <v>1</v>
      </c>
      <c r="E342" s="1998">
        <f>IF(Construction!$F$31=Construction!$R$22,Oeko!BR342,Oeko!EE342)</f>
        <v>1</v>
      </c>
      <c r="F342" s="1998">
        <f>IF(Construction!$F$31=Construction!$R$22,Oeko!BS342,Oeko!EF342)</f>
        <v>1</v>
      </c>
      <c r="G342" s="1998">
        <f>IF(Construction!$F$31=Construction!$R$22,Oeko!BT342,Oeko!EG342)</f>
        <v>1</v>
      </c>
      <c r="H342" s="1998">
        <f>IF(Construction!$F$31=Construction!$R$22,Oeko!BU342,Oeko!EH342)</f>
        <v>1</v>
      </c>
      <c r="I342" s="1979">
        <f>IF(Construction!$F$31=Construction!$R$22,Oeko!BV342,Oeko!EI342)</f>
        <v>1</v>
      </c>
      <c r="J342" s="1979">
        <f>IF(Construction!$F$31=Construction!$R$22,Oeko!BW342,Oeko!EJ342)</f>
        <v>1</v>
      </c>
      <c r="K342" s="1979">
        <f>IF(Construction!$F$31=Construction!$R$22,Oeko!BX342,Oeko!EK342)</f>
        <v>1</v>
      </c>
      <c r="L342" s="1979">
        <f>IF(Construction!$F$31=Construction!$R$22,Oeko!BY342,Oeko!EL342)</f>
        <v>1</v>
      </c>
      <c r="M342" s="1979">
        <f>IF(Construction!$F$31=Construction!$R$22,Oeko!BZ342,Oeko!EM342)</f>
        <v>1</v>
      </c>
      <c r="N342" s="1998">
        <f>IF(Construction!$F$31=Construction!$R$22,Oeko!CA342,Oeko!EN342)</f>
        <v>1</v>
      </c>
      <c r="O342" s="1998">
        <f>IF(Construction!$F$31=Construction!$R$22,Oeko!CB342,Oeko!EO342)</f>
        <v>1</v>
      </c>
      <c r="P342" s="1998">
        <f>IF(Construction!$F$31=Construction!$R$22,Oeko!CC342,Oeko!EP342)</f>
        <v>1</v>
      </c>
      <c r="Q342" s="1998">
        <f>IF(Construction!$F$31=Construction!$R$22,Oeko!CD342,Oeko!EQ342)</f>
        <v>1</v>
      </c>
      <c r="R342" s="1998">
        <f>IF(Construction!$F$31=Construction!$R$22,Oeko!CE342,Oeko!ER342)</f>
        <v>1</v>
      </c>
      <c r="S342" s="1979">
        <f>IF(Construction!$F$31=Construction!$R$22,Oeko!CF342,Oeko!ES342)</f>
        <v>1</v>
      </c>
      <c r="T342" s="1979">
        <f>IF(Construction!$F$31=Construction!$R$22,Oeko!CG342,Oeko!ET342)</f>
        <v>1</v>
      </c>
      <c r="U342" s="1979">
        <f>IF(Construction!$F$31=Construction!$R$22,Oeko!CH342,Oeko!EU342)</f>
        <v>1</v>
      </c>
      <c r="V342" s="1979">
        <f>IF(Construction!$F$31=Construction!$R$22,Oeko!CI342,Oeko!EV342)</f>
        <v>1</v>
      </c>
      <c r="W342" s="1979">
        <f>IF(Construction!$F$31=Construction!$R$22,Oeko!CJ342,Oeko!EW342)</f>
        <v>1</v>
      </c>
      <c r="X342" s="1998">
        <f>IF(Construction!$F$31=Construction!$R$22,Oeko!CK342,Oeko!EX342)</f>
        <v>1</v>
      </c>
      <c r="Y342" s="1998">
        <f>IF(Construction!$F$31=Construction!$R$22,Oeko!CL342,Oeko!EY342)</f>
        <v>1</v>
      </c>
      <c r="Z342" s="1998">
        <f>IF(Construction!$F$31=Construction!$R$22,Oeko!CM342,Oeko!EZ342)</f>
        <v>1</v>
      </c>
      <c r="AA342" s="1998">
        <f>IF(Construction!$F$31=Construction!$R$22,Oeko!CN342,Oeko!FA342)</f>
        <v>1</v>
      </c>
      <c r="AB342" s="1998">
        <f>IF(Construction!$F$31=Construction!$R$22,Oeko!CO342,Oeko!FB342)</f>
        <v>1</v>
      </c>
      <c r="AC342" s="1979">
        <f>IF(Construction!$F$31=Construction!$R$22,Oeko!CP342,Oeko!FC342)</f>
        <v>1</v>
      </c>
      <c r="AD342" s="1979">
        <f>IF(Construction!$F$31=Construction!$R$22,Oeko!CQ342,Oeko!FD342)</f>
        <v>1</v>
      </c>
      <c r="AE342" s="1979">
        <f>IF(Construction!$F$31=Construction!$R$22,Oeko!CR342,Oeko!FE342)</f>
        <v>1</v>
      </c>
      <c r="AF342" s="1979">
        <f>IF(Construction!$F$31=Construction!$R$22,Oeko!CS342,Oeko!FF342)</f>
        <v>1</v>
      </c>
      <c r="AG342" s="1979">
        <f>IF(Construction!$F$31=Construction!$R$22,Oeko!CT342,Oeko!FG342)</f>
        <v>1</v>
      </c>
      <c r="AH342" s="1998">
        <f>IF(Construction!$F$31=Construction!$R$22,Oeko!CU342,Oeko!FH342)</f>
        <v>1</v>
      </c>
      <c r="AI342" s="1998">
        <f>IF(Construction!$F$31=Construction!$R$22,Oeko!CV342,Oeko!FI342)</f>
        <v>1</v>
      </c>
      <c r="AJ342" s="1998">
        <f>IF(Construction!$F$31=Construction!$R$22,Oeko!CW342,Oeko!FJ342)</f>
        <v>1</v>
      </c>
      <c r="AK342" s="1998">
        <f>IF(Construction!$F$31=Construction!$R$22,Oeko!CX342,Oeko!FK342)</f>
        <v>1</v>
      </c>
      <c r="AL342" s="1998">
        <f>IF(Construction!$F$31=Construction!$R$22,Oeko!CY342,Oeko!FL342)</f>
        <v>1</v>
      </c>
      <c r="AM342" s="1979">
        <f>IF(Construction!$F$31=Construction!$R$22,Oeko!CZ342,Oeko!FM342)</f>
        <v>1</v>
      </c>
      <c r="AN342" s="1979">
        <f>IF(Construction!$F$31=Construction!$R$22,Oeko!DA342,Oeko!FN342)</f>
        <v>1</v>
      </c>
      <c r="AO342" s="1979">
        <f>IF(Construction!$F$31=Construction!$R$22,Oeko!DB342,Oeko!FO342)</f>
        <v>1</v>
      </c>
      <c r="AP342" s="1979">
        <f>IF(Construction!$F$31=Construction!$R$22,Oeko!DC342,Oeko!FP342)</f>
        <v>1</v>
      </c>
      <c r="AQ342" s="1979">
        <f>IF(Construction!$F$31=Construction!$R$22,Oeko!DD342,Oeko!FQ342)</f>
        <v>1</v>
      </c>
      <c r="AR342" s="1998">
        <f>IF(Construction!$F$31=Construction!$R$22,Oeko!DE342,Oeko!FR342)</f>
        <v>1</v>
      </c>
      <c r="AS342" s="1998">
        <f>IF(Construction!$F$31=Construction!$R$22,Oeko!DF342,Oeko!FS342)</f>
        <v>1</v>
      </c>
      <c r="AT342" s="1998">
        <f>IF(Construction!$F$31=Construction!$R$22,Oeko!DG342,Oeko!FT342)</f>
        <v>1</v>
      </c>
      <c r="AU342" s="1998">
        <f>IF(Construction!$F$31=Construction!$R$22,Oeko!DH342,Oeko!FU342)</f>
        <v>1</v>
      </c>
      <c r="AV342" s="1998">
        <f>IF(Construction!$F$31=Construction!$R$22,Oeko!DI342,Oeko!FV342)</f>
        <v>1</v>
      </c>
      <c r="AW342" s="1979">
        <f>IF(Construction!$F$31=Construction!$R$22,Oeko!DJ342,Oeko!FW342)</f>
        <v>1</v>
      </c>
      <c r="AX342" s="1979">
        <f>IF(Construction!$F$31=Construction!$R$22,Oeko!DK342,Oeko!FX342)</f>
        <v>1</v>
      </c>
      <c r="AY342" s="1979">
        <f>IF(Construction!$F$31=Construction!$R$22,Oeko!DL342,Oeko!FY342)</f>
        <v>1</v>
      </c>
      <c r="AZ342" s="1979">
        <f>IF(Construction!$F$31=Construction!$R$22,Oeko!DM342,Oeko!FZ342)</f>
        <v>1</v>
      </c>
      <c r="BA342" s="1979">
        <f>IF(Construction!$F$31=Construction!$R$22,Oeko!DN342,Oeko!GA342)</f>
        <v>1</v>
      </c>
      <c r="BB342" s="1998">
        <f>IF(Construction!$F$31=Construction!$R$22,Oeko!DO342,Oeko!GB342)</f>
        <v>1</v>
      </c>
      <c r="BC342" s="1998">
        <f>IF(Construction!$F$31=Construction!$R$22,Oeko!DP342,Oeko!GC342)</f>
        <v>1</v>
      </c>
      <c r="BD342" s="1998">
        <f>IF(Construction!$F$31=Construction!$R$22,Oeko!DQ342,Oeko!GD342)</f>
        <v>1</v>
      </c>
      <c r="BE342" s="1998">
        <f>IF(Construction!$F$31=Construction!$R$22,Oeko!DR342,Oeko!GE342)</f>
        <v>1</v>
      </c>
      <c r="BF342" s="1998">
        <f>IF(Construction!$F$31=Construction!$R$22,Oeko!DS342,Oeko!GF342)</f>
        <v>1</v>
      </c>
      <c r="BG342" s="1979">
        <f>IF(Construction!$F$31=Construction!$R$22,Oeko!DT342,Oeko!GG342)</f>
        <v>1</v>
      </c>
      <c r="BH342" s="1979">
        <f>IF(Construction!$F$31=Construction!$R$22,Oeko!DU342,Oeko!GH342)</f>
        <v>1</v>
      </c>
      <c r="BI342" s="1979">
        <f>IF(Construction!$F$31=Construction!$R$22,Oeko!DV342,Oeko!GI342)</f>
        <v>1</v>
      </c>
      <c r="BJ342" s="1979">
        <f>IF(Construction!$F$31=Construction!$R$22,Oeko!DW342,Oeko!GJ342)</f>
        <v>1</v>
      </c>
      <c r="BK342" s="2021">
        <f>IF(Construction!$F$31=Construction!$R$22,Oeko!DX342,Oeko!GK342)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IF(Construction!$F$31=Construction!$R$22,Oeko!BQ343,Oeko!ED343)</f>
        <v>1</v>
      </c>
      <c r="E343" s="1998">
        <f>IF(Construction!$F$31=Construction!$R$22,Oeko!BR343,Oeko!EE343)</f>
        <v>1</v>
      </c>
      <c r="F343" s="1998">
        <f>IF(Construction!$F$31=Construction!$R$22,Oeko!BS343,Oeko!EF343)</f>
        <v>1</v>
      </c>
      <c r="G343" s="1998">
        <f>IF(Construction!$F$31=Construction!$R$22,Oeko!BT343,Oeko!EG343)</f>
        <v>1</v>
      </c>
      <c r="H343" s="1998">
        <f>IF(Construction!$F$31=Construction!$R$22,Oeko!BU343,Oeko!EH343)</f>
        <v>1</v>
      </c>
      <c r="I343" s="1979">
        <f>IF(Construction!$F$31=Construction!$R$22,Oeko!BV343,Oeko!EI343)</f>
        <v>1</v>
      </c>
      <c r="J343" s="1979">
        <f>IF(Construction!$F$31=Construction!$R$22,Oeko!BW343,Oeko!EJ343)</f>
        <v>1</v>
      </c>
      <c r="K343" s="1979">
        <f>IF(Construction!$F$31=Construction!$R$22,Oeko!BX343,Oeko!EK343)</f>
        <v>1</v>
      </c>
      <c r="L343" s="1979">
        <f>IF(Construction!$F$31=Construction!$R$22,Oeko!BY343,Oeko!EL343)</f>
        <v>1</v>
      </c>
      <c r="M343" s="1979">
        <f>IF(Construction!$F$31=Construction!$R$22,Oeko!BZ343,Oeko!EM343)</f>
        <v>1</v>
      </c>
      <c r="N343" s="1998">
        <f>IF(Construction!$F$31=Construction!$R$22,Oeko!CA343,Oeko!EN343)</f>
        <v>1</v>
      </c>
      <c r="O343" s="1998">
        <f>IF(Construction!$F$31=Construction!$R$22,Oeko!CB343,Oeko!EO343)</f>
        <v>1</v>
      </c>
      <c r="P343" s="1998">
        <f>IF(Construction!$F$31=Construction!$R$22,Oeko!CC343,Oeko!EP343)</f>
        <v>1</v>
      </c>
      <c r="Q343" s="1998">
        <f>IF(Construction!$F$31=Construction!$R$22,Oeko!CD343,Oeko!EQ343)</f>
        <v>1</v>
      </c>
      <c r="R343" s="1998">
        <f>IF(Construction!$F$31=Construction!$R$22,Oeko!CE343,Oeko!ER343)</f>
        <v>1</v>
      </c>
      <c r="S343" s="1979">
        <f>IF(Construction!$F$31=Construction!$R$22,Oeko!CF343,Oeko!ES343)</f>
        <v>1</v>
      </c>
      <c r="T343" s="1979">
        <f>IF(Construction!$F$31=Construction!$R$22,Oeko!CG343,Oeko!ET343)</f>
        <v>1</v>
      </c>
      <c r="U343" s="1979">
        <f>IF(Construction!$F$31=Construction!$R$22,Oeko!CH343,Oeko!EU343)</f>
        <v>1</v>
      </c>
      <c r="V343" s="1979">
        <f>IF(Construction!$F$31=Construction!$R$22,Oeko!CI343,Oeko!EV343)</f>
        <v>1</v>
      </c>
      <c r="W343" s="1979">
        <f>IF(Construction!$F$31=Construction!$R$22,Oeko!CJ343,Oeko!EW343)</f>
        <v>1</v>
      </c>
      <c r="X343" s="1998">
        <f>IF(Construction!$F$31=Construction!$R$22,Oeko!CK343,Oeko!EX343)</f>
        <v>1</v>
      </c>
      <c r="Y343" s="1998">
        <f>IF(Construction!$F$31=Construction!$R$22,Oeko!CL343,Oeko!EY343)</f>
        <v>1</v>
      </c>
      <c r="Z343" s="1998">
        <f>IF(Construction!$F$31=Construction!$R$22,Oeko!CM343,Oeko!EZ343)</f>
        <v>1</v>
      </c>
      <c r="AA343" s="1998">
        <f>IF(Construction!$F$31=Construction!$R$22,Oeko!CN343,Oeko!FA343)</f>
        <v>1</v>
      </c>
      <c r="AB343" s="1998">
        <f>IF(Construction!$F$31=Construction!$R$22,Oeko!CO343,Oeko!FB343)</f>
        <v>1</v>
      </c>
      <c r="AC343" s="1979">
        <f>IF(Construction!$F$31=Construction!$R$22,Oeko!CP343,Oeko!FC343)</f>
        <v>1</v>
      </c>
      <c r="AD343" s="1979">
        <f>IF(Construction!$F$31=Construction!$R$22,Oeko!CQ343,Oeko!FD343)</f>
        <v>1</v>
      </c>
      <c r="AE343" s="1979">
        <f>IF(Construction!$F$31=Construction!$R$22,Oeko!CR343,Oeko!FE343)</f>
        <v>1</v>
      </c>
      <c r="AF343" s="1979">
        <f>IF(Construction!$F$31=Construction!$R$22,Oeko!CS343,Oeko!FF343)</f>
        <v>1</v>
      </c>
      <c r="AG343" s="1979">
        <f>IF(Construction!$F$31=Construction!$R$22,Oeko!CT343,Oeko!FG343)</f>
        <v>1</v>
      </c>
      <c r="AH343" s="1998">
        <f>IF(Construction!$F$31=Construction!$R$22,Oeko!CU343,Oeko!FH343)</f>
        <v>1</v>
      </c>
      <c r="AI343" s="1998">
        <f>IF(Construction!$F$31=Construction!$R$22,Oeko!CV343,Oeko!FI343)</f>
        <v>1</v>
      </c>
      <c r="AJ343" s="1998">
        <f>IF(Construction!$F$31=Construction!$R$22,Oeko!CW343,Oeko!FJ343)</f>
        <v>1</v>
      </c>
      <c r="AK343" s="1998">
        <f>IF(Construction!$F$31=Construction!$R$22,Oeko!CX343,Oeko!FK343)</f>
        <v>1</v>
      </c>
      <c r="AL343" s="1998">
        <f>IF(Construction!$F$31=Construction!$R$22,Oeko!CY343,Oeko!FL343)</f>
        <v>1</v>
      </c>
      <c r="AM343" s="1979">
        <f>IF(Construction!$F$31=Construction!$R$22,Oeko!CZ343,Oeko!FM343)</f>
        <v>1</v>
      </c>
      <c r="AN343" s="1979">
        <f>IF(Construction!$F$31=Construction!$R$22,Oeko!DA343,Oeko!FN343)</f>
        <v>1</v>
      </c>
      <c r="AO343" s="1979">
        <f>IF(Construction!$F$31=Construction!$R$22,Oeko!DB343,Oeko!FO343)</f>
        <v>1</v>
      </c>
      <c r="AP343" s="1979">
        <f>IF(Construction!$F$31=Construction!$R$22,Oeko!DC343,Oeko!FP343)</f>
        <v>1</v>
      </c>
      <c r="AQ343" s="1979">
        <f>IF(Construction!$F$31=Construction!$R$22,Oeko!DD343,Oeko!FQ343)</f>
        <v>1</v>
      </c>
      <c r="AR343" s="1998">
        <f>IF(Construction!$F$31=Construction!$R$22,Oeko!DE343,Oeko!FR343)</f>
        <v>1</v>
      </c>
      <c r="AS343" s="1998">
        <f>IF(Construction!$F$31=Construction!$R$22,Oeko!DF343,Oeko!FS343)</f>
        <v>1</v>
      </c>
      <c r="AT343" s="1998">
        <f>IF(Construction!$F$31=Construction!$R$22,Oeko!DG343,Oeko!FT343)</f>
        <v>1</v>
      </c>
      <c r="AU343" s="1998">
        <f>IF(Construction!$F$31=Construction!$R$22,Oeko!DH343,Oeko!FU343)</f>
        <v>1</v>
      </c>
      <c r="AV343" s="1998">
        <f>IF(Construction!$F$31=Construction!$R$22,Oeko!DI343,Oeko!FV343)</f>
        <v>1</v>
      </c>
      <c r="AW343" s="1979">
        <f>IF(Construction!$F$31=Construction!$R$22,Oeko!DJ343,Oeko!FW343)</f>
        <v>1</v>
      </c>
      <c r="AX343" s="1979">
        <f>IF(Construction!$F$31=Construction!$R$22,Oeko!DK343,Oeko!FX343)</f>
        <v>1</v>
      </c>
      <c r="AY343" s="1979">
        <f>IF(Construction!$F$31=Construction!$R$22,Oeko!DL343,Oeko!FY343)</f>
        <v>1</v>
      </c>
      <c r="AZ343" s="1979">
        <f>IF(Construction!$F$31=Construction!$R$22,Oeko!DM343,Oeko!FZ343)</f>
        <v>1</v>
      </c>
      <c r="BA343" s="1979">
        <f>IF(Construction!$F$31=Construction!$R$22,Oeko!DN343,Oeko!GA343)</f>
        <v>1</v>
      </c>
      <c r="BB343" s="1998">
        <f>IF(Construction!$F$31=Construction!$R$22,Oeko!DO343,Oeko!GB343)</f>
        <v>1</v>
      </c>
      <c r="BC343" s="1998">
        <f>IF(Construction!$F$31=Construction!$R$22,Oeko!DP343,Oeko!GC343)</f>
        <v>1</v>
      </c>
      <c r="BD343" s="1998">
        <f>IF(Construction!$F$31=Construction!$R$22,Oeko!DQ343,Oeko!GD343)</f>
        <v>1</v>
      </c>
      <c r="BE343" s="1998">
        <f>IF(Construction!$F$31=Construction!$R$22,Oeko!DR343,Oeko!GE343)</f>
        <v>1</v>
      </c>
      <c r="BF343" s="1998">
        <f>IF(Construction!$F$31=Construction!$R$22,Oeko!DS343,Oeko!GF343)</f>
        <v>1</v>
      </c>
      <c r="BG343" s="1979">
        <f>IF(Construction!$F$31=Construction!$R$22,Oeko!DT343,Oeko!GG343)</f>
        <v>1</v>
      </c>
      <c r="BH343" s="1979">
        <f>IF(Construction!$F$31=Construction!$R$22,Oeko!DU343,Oeko!GH343)</f>
        <v>1</v>
      </c>
      <c r="BI343" s="1979">
        <f>IF(Construction!$F$31=Construction!$R$22,Oeko!DV343,Oeko!GI343)</f>
        <v>1</v>
      </c>
      <c r="BJ343" s="1979">
        <f>IF(Construction!$F$31=Construction!$R$22,Oeko!DW343,Oeko!GJ343)</f>
        <v>1</v>
      </c>
      <c r="BK343" s="2021">
        <f>IF(Construction!$F$31=Construction!$R$22,Oeko!DX343,Oeko!GK343)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IF(Construction!$F$31=Construction!$R$22,Oeko!BQ344,Oeko!ED344)</f>
        <v>1</v>
      </c>
      <c r="E344" s="1998">
        <f>IF(Construction!$F$31=Construction!$R$22,Oeko!BR344,Oeko!EE344)</f>
        <v>1</v>
      </c>
      <c r="F344" s="1998">
        <f>IF(Construction!$F$31=Construction!$R$22,Oeko!BS344,Oeko!EF344)</f>
        <v>1</v>
      </c>
      <c r="G344" s="1998">
        <f>IF(Construction!$F$31=Construction!$R$22,Oeko!BT344,Oeko!EG344)</f>
        <v>1</v>
      </c>
      <c r="H344" s="1998">
        <f>IF(Construction!$F$31=Construction!$R$22,Oeko!BU344,Oeko!EH344)</f>
        <v>1</v>
      </c>
      <c r="I344" s="1979">
        <f>IF(Construction!$F$31=Construction!$R$22,Oeko!BV344,Oeko!EI344)</f>
        <v>1</v>
      </c>
      <c r="J344" s="1979">
        <f>IF(Construction!$F$31=Construction!$R$22,Oeko!BW344,Oeko!EJ344)</f>
        <v>1</v>
      </c>
      <c r="K344" s="1979">
        <f>IF(Construction!$F$31=Construction!$R$22,Oeko!BX344,Oeko!EK344)</f>
        <v>1</v>
      </c>
      <c r="L344" s="1979">
        <f>IF(Construction!$F$31=Construction!$R$22,Oeko!BY344,Oeko!EL344)</f>
        <v>1</v>
      </c>
      <c r="M344" s="1979">
        <f>IF(Construction!$F$31=Construction!$R$22,Oeko!BZ344,Oeko!EM344)</f>
        <v>1</v>
      </c>
      <c r="N344" s="1998">
        <f>IF(Construction!$F$31=Construction!$R$22,Oeko!CA344,Oeko!EN344)</f>
        <v>1</v>
      </c>
      <c r="O344" s="1998">
        <f>IF(Construction!$F$31=Construction!$R$22,Oeko!CB344,Oeko!EO344)</f>
        <v>1</v>
      </c>
      <c r="P344" s="1998">
        <f>IF(Construction!$F$31=Construction!$R$22,Oeko!CC344,Oeko!EP344)</f>
        <v>1</v>
      </c>
      <c r="Q344" s="1998">
        <f>IF(Construction!$F$31=Construction!$R$22,Oeko!CD344,Oeko!EQ344)</f>
        <v>1</v>
      </c>
      <c r="R344" s="1998">
        <f>IF(Construction!$F$31=Construction!$R$22,Oeko!CE344,Oeko!ER344)</f>
        <v>1</v>
      </c>
      <c r="S344" s="1979">
        <f>IF(Construction!$F$31=Construction!$R$22,Oeko!CF344,Oeko!ES344)</f>
        <v>1</v>
      </c>
      <c r="T344" s="1979">
        <f>IF(Construction!$F$31=Construction!$R$22,Oeko!CG344,Oeko!ET344)</f>
        <v>1</v>
      </c>
      <c r="U344" s="1979">
        <f>IF(Construction!$F$31=Construction!$R$22,Oeko!CH344,Oeko!EU344)</f>
        <v>1</v>
      </c>
      <c r="V344" s="1979">
        <f>IF(Construction!$F$31=Construction!$R$22,Oeko!CI344,Oeko!EV344)</f>
        <v>1</v>
      </c>
      <c r="W344" s="1979">
        <f>IF(Construction!$F$31=Construction!$R$22,Oeko!CJ344,Oeko!EW344)</f>
        <v>1</v>
      </c>
      <c r="X344" s="1998">
        <f>IF(Construction!$F$31=Construction!$R$22,Oeko!CK344,Oeko!EX344)</f>
        <v>1</v>
      </c>
      <c r="Y344" s="1998">
        <f>IF(Construction!$F$31=Construction!$R$22,Oeko!CL344,Oeko!EY344)</f>
        <v>1</v>
      </c>
      <c r="Z344" s="1998">
        <f>IF(Construction!$F$31=Construction!$R$22,Oeko!CM344,Oeko!EZ344)</f>
        <v>1</v>
      </c>
      <c r="AA344" s="1998">
        <f>IF(Construction!$F$31=Construction!$R$22,Oeko!CN344,Oeko!FA344)</f>
        <v>1</v>
      </c>
      <c r="AB344" s="1998">
        <f>IF(Construction!$F$31=Construction!$R$22,Oeko!CO344,Oeko!FB344)</f>
        <v>1</v>
      </c>
      <c r="AC344" s="1979">
        <f>IF(Construction!$F$31=Construction!$R$22,Oeko!CP344,Oeko!FC344)</f>
        <v>1</v>
      </c>
      <c r="AD344" s="1979">
        <f>IF(Construction!$F$31=Construction!$R$22,Oeko!CQ344,Oeko!FD344)</f>
        <v>1</v>
      </c>
      <c r="AE344" s="1979">
        <f>IF(Construction!$F$31=Construction!$R$22,Oeko!CR344,Oeko!FE344)</f>
        <v>1</v>
      </c>
      <c r="AF344" s="1979">
        <f>IF(Construction!$F$31=Construction!$R$22,Oeko!CS344,Oeko!FF344)</f>
        <v>1</v>
      </c>
      <c r="AG344" s="1979">
        <f>IF(Construction!$F$31=Construction!$R$22,Oeko!CT344,Oeko!FG344)</f>
        <v>1</v>
      </c>
      <c r="AH344" s="1998">
        <f>IF(Construction!$F$31=Construction!$R$22,Oeko!CU344,Oeko!FH344)</f>
        <v>1</v>
      </c>
      <c r="AI344" s="1998">
        <f>IF(Construction!$F$31=Construction!$R$22,Oeko!CV344,Oeko!FI344)</f>
        <v>1</v>
      </c>
      <c r="AJ344" s="1998">
        <f>IF(Construction!$F$31=Construction!$R$22,Oeko!CW344,Oeko!FJ344)</f>
        <v>1</v>
      </c>
      <c r="AK344" s="1998">
        <f>IF(Construction!$F$31=Construction!$R$22,Oeko!CX344,Oeko!FK344)</f>
        <v>1</v>
      </c>
      <c r="AL344" s="1998">
        <f>IF(Construction!$F$31=Construction!$R$22,Oeko!CY344,Oeko!FL344)</f>
        <v>1</v>
      </c>
      <c r="AM344" s="1979">
        <f>IF(Construction!$F$31=Construction!$R$22,Oeko!CZ344,Oeko!FM344)</f>
        <v>1</v>
      </c>
      <c r="AN344" s="1979">
        <f>IF(Construction!$F$31=Construction!$R$22,Oeko!DA344,Oeko!FN344)</f>
        <v>1</v>
      </c>
      <c r="AO344" s="1979">
        <f>IF(Construction!$F$31=Construction!$R$22,Oeko!DB344,Oeko!FO344)</f>
        <v>1</v>
      </c>
      <c r="AP344" s="1979">
        <f>IF(Construction!$F$31=Construction!$R$22,Oeko!DC344,Oeko!FP344)</f>
        <v>1</v>
      </c>
      <c r="AQ344" s="1979">
        <f>IF(Construction!$F$31=Construction!$R$22,Oeko!DD344,Oeko!FQ344)</f>
        <v>1</v>
      </c>
      <c r="AR344" s="1998">
        <f>IF(Construction!$F$31=Construction!$R$22,Oeko!DE344,Oeko!FR344)</f>
        <v>1</v>
      </c>
      <c r="AS344" s="1998">
        <f>IF(Construction!$F$31=Construction!$R$22,Oeko!DF344,Oeko!FS344)</f>
        <v>1</v>
      </c>
      <c r="AT344" s="1998">
        <f>IF(Construction!$F$31=Construction!$R$22,Oeko!DG344,Oeko!FT344)</f>
        <v>1</v>
      </c>
      <c r="AU344" s="1998">
        <f>IF(Construction!$F$31=Construction!$R$22,Oeko!DH344,Oeko!FU344)</f>
        <v>1</v>
      </c>
      <c r="AV344" s="1998">
        <f>IF(Construction!$F$31=Construction!$R$22,Oeko!DI344,Oeko!FV344)</f>
        <v>1</v>
      </c>
      <c r="AW344" s="1979">
        <f>IF(Construction!$F$31=Construction!$R$22,Oeko!DJ344,Oeko!FW344)</f>
        <v>1</v>
      </c>
      <c r="AX344" s="1979">
        <f>IF(Construction!$F$31=Construction!$R$22,Oeko!DK344,Oeko!FX344)</f>
        <v>1</v>
      </c>
      <c r="AY344" s="1979">
        <f>IF(Construction!$F$31=Construction!$R$22,Oeko!DL344,Oeko!FY344)</f>
        <v>1</v>
      </c>
      <c r="AZ344" s="1979">
        <f>IF(Construction!$F$31=Construction!$R$22,Oeko!DM344,Oeko!FZ344)</f>
        <v>1</v>
      </c>
      <c r="BA344" s="1979">
        <f>IF(Construction!$F$31=Construction!$R$22,Oeko!DN344,Oeko!GA344)</f>
        <v>1</v>
      </c>
      <c r="BB344" s="1998">
        <f>IF(Construction!$F$31=Construction!$R$22,Oeko!DO344,Oeko!GB344)</f>
        <v>1</v>
      </c>
      <c r="BC344" s="1998">
        <f>IF(Construction!$F$31=Construction!$R$22,Oeko!DP344,Oeko!GC344)</f>
        <v>1</v>
      </c>
      <c r="BD344" s="1998">
        <f>IF(Construction!$F$31=Construction!$R$22,Oeko!DQ344,Oeko!GD344)</f>
        <v>1</v>
      </c>
      <c r="BE344" s="1998">
        <f>IF(Construction!$F$31=Construction!$R$22,Oeko!DR344,Oeko!GE344)</f>
        <v>1</v>
      </c>
      <c r="BF344" s="1998">
        <f>IF(Construction!$F$31=Construction!$R$22,Oeko!DS344,Oeko!GF344)</f>
        <v>1</v>
      </c>
      <c r="BG344" s="1979">
        <f>IF(Construction!$F$31=Construction!$R$22,Oeko!DT344,Oeko!GG344)</f>
        <v>1</v>
      </c>
      <c r="BH344" s="1979">
        <f>IF(Construction!$F$31=Construction!$R$22,Oeko!DU344,Oeko!GH344)</f>
        <v>1</v>
      </c>
      <c r="BI344" s="1979">
        <f>IF(Construction!$F$31=Construction!$R$22,Oeko!DV344,Oeko!GI344)</f>
        <v>1</v>
      </c>
      <c r="BJ344" s="1979">
        <f>IF(Construction!$F$31=Construction!$R$22,Oeko!DW344,Oeko!GJ344)</f>
        <v>1</v>
      </c>
      <c r="BK344" s="2021">
        <f>IF(Construction!$F$31=Construction!$R$22,Oeko!DX344,Oeko!GK344)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IF(Construction!$F$31=Construction!$R$22,Oeko!BQ345,Oeko!ED345)</f>
        <v>1</v>
      </c>
      <c r="E345" s="1998">
        <f>IF(Construction!$F$31=Construction!$R$22,Oeko!BR345,Oeko!EE345)</f>
        <v>1</v>
      </c>
      <c r="F345" s="1998">
        <f>IF(Construction!$F$31=Construction!$R$22,Oeko!BS345,Oeko!EF345)</f>
        <v>1</v>
      </c>
      <c r="G345" s="1998">
        <f>IF(Construction!$F$31=Construction!$R$22,Oeko!BT345,Oeko!EG345)</f>
        <v>1</v>
      </c>
      <c r="H345" s="1998">
        <f>IF(Construction!$F$31=Construction!$R$22,Oeko!BU345,Oeko!EH345)</f>
        <v>1</v>
      </c>
      <c r="I345" s="1979">
        <f>IF(Construction!$F$31=Construction!$R$22,Oeko!BV345,Oeko!EI345)</f>
        <v>1</v>
      </c>
      <c r="J345" s="1979">
        <f>IF(Construction!$F$31=Construction!$R$22,Oeko!BW345,Oeko!EJ345)</f>
        <v>1</v>
      </c>
      <c r="K345" s="1979">
        <f>IF(Construction!$F$31=Construction!$R$22,Oeko!BX345,Oeko!EK345)</f>
        <v>1</v>
      </c>
      <c r="L345" s="1979">
        <f>IF(Construction!$F$31=Construction!$R$22,Oeko!BY345,Oeko!EL345)</f>
        <v>1</v>
      </c>
      <c r="M345" s="1979">
        <f>IF(Construction!$F$31=Construction!$R$22,Oeko!BZ345,Oeko!EM345)</f>
        <v>1</v>
      </c>
      <c r="N345" s="1998">
        <f>IF(Construction!$F$31=Construction!$R$22,Oeko!CA345,Oeko!EN345)</f>
        <v>1</v>
      </c>
      <c r="O345" s="1998">
        <f>IF(Construction!$F$31=Construction!$R$22,Oeko!CB345,Oeko!EO345)</f>
        <v>1</v>
      </c>
      <c r="P345" s="1998">
        <f>IF(Construction!$F$31=Construction!$R$22,Oeko!CC345,Oeko!EP345)</f>
        <v>1</v>
      </c>
      <c r="Q345" s="1998">
        <f>IF(Construction!$F$31=Construction!$R$22,Oeko!CD345,Oeko!EQ345)</f>
        <v>1</v>
      </c>
      <c r="R345" s="1998">
        <f>IF(Construction!$F$31=Construction!$R$22,Oeko!CE345,Oeko!ER345)</f>
        <v>1</v>
      </c>
      <c r="S345" s="1979">
        <f>IF(Construction!$F$31=Construction!$R$22,Oeko!CF345,Oeko!ES345)</f>
        <v>1</v>
      </c>
      <c r="T345" s="1979">
        <f>IF(Construction!$F$31=Construction!$R$22,Oeko!CG345,Oeko!ET345)</f>
        <v>1</v>
      </c>
      <c r="U345" s="1979">
        <f>IF(Construction!$F$31=Construction!$R$22,Oeko!CH345,Oeko!EU345)</f>
        <v>1</v>
      </c>
      <c r="V345" s="1979">
        <f>IF(Construction!$F$31=Construction!$R$22,Oeko!CI345,Oeko!EV345)</f>
        <v>1</v>
      </c>
      <c r="W345" s="1979">
        <f>IF(Construction!$F$31=Construction!$R$22,Oeko!CJ345,Oeko!EW345)</f>
        <v>1</v>
      </c>
      <c r="X345" s="1998">
        <f>IF(Construction!$F$31=Construction!$R$22,Oeko!CK345,Oeko!EX345)</f>
        <v>1</v>
      </c>
      <c r="Y345" s="1998">
        <f>IF(Construction!$F$31=Construction!$R$22,Oeko!CL345,Oeko!EY345)</f>
        <v>1</v>
      </c>
      <c r="Z345" s="1998">
        <f>IF(Construction!$F$31=Construction!$R$22,Oeko!CM345,Oeko!EZ345)</f>
        <v>1</v>
      </c>
      <c r="AA345" s="1998">
        <f>IF(Construction!$F$31=Construction!$R$22,Oeko!CN345,Oeko!FA345)</f>
        <v>1</v>
      </c>
      <c r="AB345" s="1998">
        <f>IF(Construction!$F$31=Construction!$R$22,Oeko!CO345,Oeko!FB345)</f>
        <v>1</v>
      </c>
      <c r="AC345" s="1979">
        <f>IF(Construction!$F$31=Construction!$R$22,Oeko!CP345,Oeko!FC345)</f>
        <v>1</v>
      </c>
      <c r="AD345" s="1979">
        <f>IF(Construction!$F$31=Construction!$R$22,Oeko!CQ345,Oeko!FD345)</f>
        <v>1</v>
      </c>
      <c r="AE345" s="1979">
        <f>IF(Construction!$F$31=Construction!$R$22,Oeko!CR345,Oeko!FE345)</f>
        <v>1</v>
      </c>
      <c r="AF345" s="1979">
        <f>IF(Construction!$F$31=Construction!$R$22,Oeko!CS345,Oeko!FF345)</f>
        <v>1</v>
      </c>
      <c r="AG345" s="1979">
        <f>IF(Construction!$F$31=Construction!$R$22,Oeko!CT345,Oeko!FG345)</f>
        <v>1</v>
      </c>
      <c r="AH345" s="1998">
        <f>IF(Construction!$F$31=Construction!$R$22,Oeko!CU345,Oeko!FH345)</f>
        <v>1</v>
      </c>
      <c r="AI345" s="1998">
        <f>IF(Construction!$F$31=Construction!$R$22,Oeko!CV345,Oeko!FI345)</f>
        <v>1</v>
      </c>
      <c r="AJ345" s="1998">
        <f>IF(Construction!$F$31=Construction!$R$22,Oeko!CW345,Oeko!FJ345)</f>
        <v>1</v>
      </c>
      <c r="AK345" s="1998">
        <f>IF(Construction!$F$31=Construction!$R$22,Oeko!CX345,Oeko!FK345)</f>
        <v>1</v>
      </c>
      <c r="AL345" s="1998">
        <f>IF(Construction!$F$31=Construction!$R$22,Oeko!CY345,Oeko!FL345)</f>
        <v>1</v>
      </c>
      <c r="AM345" s="1979">
        <f>IF(Construction!$F$31=Construction!$R$22,Oeko!CZ345,Oeko!FM345)</f>
        <v>1</v>
      </c>
      <c r="AN345" s="1979">
        <f>IF(Construction!$F$31=Construction!$R$22,Oeko!DA345,Oeko!FN345)</f>
        <v>1</v>
      </c>
      <c r="AO345" s="1979">
        <f>IF(Construction!$F$31=Construction!$R$22,Oeko!DB345,Oeko!FO345)</f>
        <v>1</v>
      </c>
      <c r="AP345" s="1979">
        <f>IF(Construction!$F$31=Construction!$R$22,Oeko!DC345,Oeko!FP345)</f>
        <v>1</v>
      </c>
      <c r="AQ345" s="1979">
        <f>IF(Construction!$F$31=Construction!$R$22,Oeko!DD345,Oeko!FQ345)</f>
        <v>1</v>
      </c>
      <c r="AR345" s="1998">
        <f>IF(Construction!$F$31=Construction!$R$22,Oeko!DE345,Oeko!FR345)</f>
        <v>1</v>
      </c>
      <c r="AS345" s="1998">
        <f>IF(Construction!$F$31=Construction!$R$22,Oeko!DF345,Oeko!FS345)</f>
        <v>1</v>
      </c>
      <c r="AT345" s="1998">
        <f>IF(Construction!$F$31=Construction!$R$22,Oeko!DG345,Oeko!FT345)</f>
        <v>1</v>
      </c>
      <c r="AU345" s="1998">
        <f>IF(Construction!$F$31=Construction!$R$22,Oeko!DH345,Oeko!FU345)</f>
        <v>1</v>
      </c>
      <c r="AV345" s="1998">
        <f>IF(Construction!$F$31=Construction!$R$22,Oeko!DI345,Oeko!FV345)</f>
        <v>1</v>
      </c>
      <c r="AW345" s="1979">
        <f>IF(Construction!$F$31=Construction!$R$22,Oeko!DJ345,Oeko!FW345)</f>
        <v>1</v>
      </c>
      <c r="AX345" s="1979">
        <f>IF(Construction!$F$31=Construction!$R$22,Oeko!DK345,Oeko!FX345)</f>
        <v>1</v>
      </c>
      <c r="AY345" s="1979">
        <f>IF(Construction!$F$31=Construction!$R$22,Oeko!DL345,Oeko!FY345)</f>
        <v>1</v>
      </c>
      <c r="AZ345" s="1979">
        <f>IF(Construction!$F$31=Construction!$R$22,Oeko!DM345,Oeko!FZ345)</f>
        <v>1</v>
      </c>
      <c r="BA345" s="1979">
        <f>IF(Construction!$F$31=Construction!$R$22,Oeko!DN345,Oeko!GA345)</f>
        <v>1</v>
      </c>
      <c r="BB345" s="1998">
        <f>IF(Construction!$F$31=Construction!$R$22,Oeko!DO345,Oeko!GB345)</f>
        <v>1</v>
      </c>
      <c r="BC345" s="1998">
        <f>IF(Construction!$F$31=Construction!$R$22,Oeko!DP345,Oeko!GC345)</f>
        <v>1</v>
      </c>
      <c r="BD345" s="1998">
        <f>IF(Construction!$F$31=Construction!$R$22,Oeko!DQ345,Oeko!GD345)</f>
        <v>1</v>
      </c>
      <c r="BE345" s="1998">
        <f>IF(Construction!$F$31=Construction!$R$22,Oeko!DR345,Oeko!GE345)</f>
        <v>1</v>
      </c>
      <c r="BF345" s="1998">
        <f>IF(Construction!$F$31=Construction!$R$22,Oeko!DS345,Oeko!GF345)</f>
        <v>1</v>
      </c>
      <c r="BG345" s="1979">
        <f>IF(Construction!$F$31=Construction!$R$22,Oeko!DT345,Oeko!GG345)</f>
        <v>1</v>
      </c>
      <c r="BH345" s="1979">
        <f>IF(Construction!$F$31=Construction!$R$22,Oeko!DU345,Oeko!GH345)</f>
        <v>1</v>
      </c>
      <c r="BI345" s="1979">
        <f>IF(Construction!$F$31=Construction!$R$22,Oeko!DV345,Oeko!GI345)</f>
        <v>1</v>
      </c>
      <c r="BJ345" s="1979">
        <f>IF(Construction!$F$31=Construction!$R$22,Oeko!DW345,Oeko!GJ345)</f>
        <v>1</v>
      </c>
      <c r="BK345" s="2021">
        <f>IF(Construction!$F$31=Construction!$R$22,Oeko!DX345,Oeko!GK345)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Contruction massive légère</v>
      </c>
      <c r="B346" s="2">
        <v>1</v>
      </c>
      <c r="C346" s="2" t="s">
        <v>4329</v>
      </c>
      <c r="D346" s="2002">
        <f>IF(Construction!$F$31=Construction!$R$22,Oeko!BQ346,Oeko!ED346)</f>
        <v>1.09375</v>
      </c>
      <c r="E346" s="2002">
        <f>IF(Construction!$F$31=Construction!$R$22,Oeko!BR346,Oeko!EE346)</f>
        <v>1.09375</v>
      </c>
      <c r="F346" s="2002">
        <f>IF(Construction!$F$31=Construction!$R$22,Oeko!BS346,Oeko!EF346)</f>
        <v>1.09375</v>
      </c>
      <c r="G346" s="2002">
        <f>IF(Construction!$F$31=Construction!$R$22,Oeko!BT346,Oeko!EG346)</f>
        <v>1.09375</v>
      </c>
      <c r="H346" s="2002">
        <f>IF(Construction!$F$31=Construction!$R$22,Oeko!BU346,Oeko!EH346)</f>
        <v>1.09375</v>
      </c>
      <c r="I346" s="2004">
        <f>IF(Construction!$F$31=Construction!$R$22,Oeko!BV346,Oeko!EI346)</f>
        <v>1.5999999999999999</v>
      </c>
      <c r="J346" s="2004">
        <f>IF(Construction!$F$31=Construction!$R$22,Oeko!BW346,Oeko!EJ346)</f>
        <v>1.5999999999999999</v>
      </c>
      <c r="K346" s="2004">
        <f>IF(Construction!$F$31=Construction!$R$22,Oeko!BX346,Oeko!EK346)</f>
        <v>1.5999999999999999</v>
      </c>
      <c r="L346" s="2004">
        <f>IF(Construction!$F$31=Construction!$R$22,Oeko!BY346,Oeko!EL346)</f>
        <v>1.5999999999999999</v>
      </c>
      <c r="M346" s="2004">
        <f>IF(Construction!$F$31=Construction!$R$22,Oeko!BZ346,Oeko!EM346)</f>
        <v>1.5999999999999999</v>
      </c>
      <c r="N346" s="2002">
        <f>IF(Construction!$F$31=Construction!$R$22,Oeko!CA346,Oeko!EN346)</f>
        <v>1.0389610389610389</v>
      </c>
      <c r="O346" s="2002">
        <f>IF(Construction!$F$31=Construction!$R$22,Oeko!CB346,Oeko!EO346)</f>
        <v>1.0389610389610389</v>
      </c>
      <c r="P346" s="2002">
        <f>IF(Construction!$F$31=Construction!$R$22,Oeko!CC346,Oeko!EP346)</f>
        <v>1.0389610389610389</v>
      </c>
      <c r="Q346" s="2002">
        <f>IF(Construction!$F$31=Construction!$R$22,Oeko!CD346,Oeko!EQ346)</f>
        <v>1.0389610389610389</v>
      </c>
      <c r="R346" s="2002">
        <f>IF(Construction!$F$31=Construction!$R$22,Oeko!CE346,Oeko!ER346)</f>
        <v>1.0389610389610389</v>
      </c>
      <c r="S346" s="2004">
        <f>IF(Construction!$F$31=Construction!$R$22,Oeko!CF346,Oeko!ES346)</f>
        <v>1.3500000000000003</v>
      </c>
      <c r="T346" s="2004">
        <f>IF(Construction!$F$31=Construction!$R$22,Oeko!CG346,Oeko!ET346)</f>
        <v>1.3500000000000003</v>
      </c>
      <c r="U346" s="2004">
        <f>IF(Construction!$F$31=Construction!$R$22,Oeko!CH346,Oeko!EU346)</f>
        <v>1.3500000000000003</v>
      </c>
      <c r="V346" s="2004">
        <f>IF(Construction!$F$31=Construction!$R$22,Oeko!CI346,Oeko!EV346)</f>
        <v>1.3500000000000003</v>
      </c>
      <c r="W346" s="2004">
        <f>IF(Construction!$F$31=Construction!$R$22,Oeko!CJ346,Oeko!EW346)</f>
        <v>1.3500000000000003</v>
      </c>
      <c r="X346" s="2002">
        <f>IF(Construction!$F$31=Construction!$R$22,Oeko!CK346,Oeko!EX346)</f>
        <v>1.0285714285714285</v>
      </c>
      <c r="Y346" s="2002">
        <f>IF(Construction!$F$31=Construction!$R$22,Oeko!CL346,Oeko!EY346)</f>
        <v>1.0285714285714285</v>
      </c>
      <c r="Z346" s="2002">
        <f>IF(Construction!$F$31=Construction!$R$22,Oeko!CM346,Oeko!EZ346)</f>
        <v>1.0285714285714285</v>
      </c>
      <c r="AA346" s="2002">
        <f>IF(Construction!$F$31=Construction!$R$22,Oeko!CN346,Oeko!FA346)</f>
        <v>1.0285714285714285</v>
      </c>
      <c r="AB346" s="2002">
        <f>IF(Construction!$F$31=Construction!$R$22,Oeko!CO346,Oeko!FB346)</f>
        <v>1.0285714285714285</v>
      </c>
      <c r="AC346" s="2004">
        <f>IF(Construction!$F$31=Construction!$R$22,Oeko!CP346,Oeko!FC346)</f>
        <v>1.0000000000000002</v>
      </c>
      <c r="AD346" s="2004">
        <f>IF(Construction!$F$31=Construction!$R$22,Oeko!CQ346,Oeko!FD346)</f>
        <v>1.0000000000000002</v>
      </c>
      <c r="AE346" s="2004">
        <f>IF(Construction!$F$31=Construction!$R$22,Oeko!CR346,Oeko!FE346)</f>
        <v>1.0000000000000002</v>
      </c>
      <c r="AF346" s="2004">
        <f>IF(Construction!$F$31=Construction!$R$22,Oeko!CS346,Oeko!FF346)</f>
        <v>1.0000000000000002</v>
      </c>
      <c r="AG346" s="2004">
        <f>IF(Construction!$F$31=Construction!$R$22,Oeko!CT346,Oeko!FG346)</f>
        <v>1.0000000000000002</v>
      </c>
      <c r="AH346" s="2002">
        <f>IF(Construction!$F$31=Construction!$R$22,Oeko!CU346,Oeko!FH346)</f>
        <v>1.4999999999999998</v>
      </c>
      <c r="AI346" s="2002">
        <f>IF(Construction!$F$31=Construction!$R$22,Oeko!CV346,Oeko!FI346)</f>
        <v>1.4999999999999998</v>
      </c>
      <c r="AJ346" s="2002">
        <f>IF(Construction!$F$31=Construction!$R$22,Oeko!CW346,Oeko!FJ346)</f>
        <v>1.4999999999999998</v>
      </c>
      <c r="AK346" s="2002">
        <f>IF(Construction!$F$31=Construction!$R$22,Oeko!CX346,Oeko!FK346)</f>
        <v>1.4999999999999998</v>
      </c>
      <c r="AL346" s="2002">
        <f>IF(Construction!$F$31=Construction!$R$22,Oeko!CY346,Oeko!FL346)</f>
        <v>1.4999999999999998</v>
      </c>
      <c r="AM346" s="2004">
        <f>IF(Construction!$F$31=Construction!$R$22,Oeko!CZ346,Oeko!FM346)</f>
        <v>1.2222222222222223</v>
      </c>
      <c r="AN346" s="2004">
        <f>IF(Construction!$F$31=Construction!$R$22,Oeko!DA346,Oeko!FN346)</f>
        <v>1.2222222222222223</v>
      </c>
      <c r="AO346" s="2004">
        <f>IF(Construction!$F$31=Construction!$R$22,Oeko!DB346,Oeko!FO346)</f>
        <v>1.2222222222222223</v>
      </c>
      <c r="AP346" s="2004">
        <f>IF(Construction!$F$31=Construction!$R$22,Oeko!DC346,Oeko!FP346)</f>
        <v>1.2222222222222223</v>
      </c>
      <c r="AQ346" s="2004">
        <f>IF(Construction!$F$31=Construction!$R$22,Oeko!DD346,Oeko!FQ346)</f>
        <v>1.2222222222222223</v>
      </c>
      <c r="AR346" s="2002">
        <f>IF(Construction!$F$31=Construction!$R$22,Oeko!DE346,Oeko!FR346)</f>
        <v>13.798045313008366</v>
      </c>
      <c r="AS346" s="2002">
        <f>IF(Construction!$F$31=Construction!$R$22,Oeko!DF346,Oeko!FS346)</f>
        <v>13.798045313008366</v>
      </c>
      <c r="AT346" s="2002">
        <f>IF(Construction!$F$31=Construction!$R$22,Oeko!DG346,Oeko!FT346)</f>
        <v>13.798045313008366</v>
      </c>
      <c r="AU346" s="2002">
        <f>IF(Construction!$F$31=Construction!$R$22,Oeko!DH346,Oeko!FU346)</f>
        <v>13.798045313008366</v>
      </c>
      <c r="AV346" s="2002">
        <f>IF(Construction!$F$31=Construction!$R$22,Oeko!DI346,Oeko!FV346)</f>
        <v>13.798045313008366</v>
      </c>
      <c r="AW346" s="2004">
        <f>IF(Construction!$F$31=Construction!$R$22,Oeko!DJ346,Oeko!FW346)</f>
        <v>13.770696286005787</v>
      </c>
      <c r="AX346" s="2004">
        <f>IF(Construction!$F$31=Construction!$R$22,Oeko!DK346,Oeko!FX346)</f>
        <v>13.770696286005787</v>
      </c>
      <c r="AY346" s="2004">
        <f>IF(Construction!$F$31=Construction!$R$22,Oeko!DL346,Oeko!FY346)</f>
        <v>13.770696286005787</v>
      </c>
      <c r="AZ346" s="2004">
        <f>IF(Construction!$F$31=Construction!$R$22,Oeko!DM346,Oeko!FZ346)</f>
        <v>13.770696286005787</v>
      </c>
      <c r="BA346" s="2004">
        <f>IF(Construction!$F$31=Construction!$R$22,Oeko!DN346,Oeko!GA346)</f>
        <v>13.770696286005787</v>
      </c>
      <c r="BB346" s="2002">
        <f>IF(Construction!$F$31=Construction!$R$22,Oeko!DO346,Oeko!GB346)</f>
        <v>0.97975662301212196</v>
      </c>
      <c r="BC346" s="2002">
        <f>IF(Construction!$F$31=Construction!$R$22,Oeko!DP346,Oeko!GC346)</f>
        <v>0.97975662301212196</v>
      </c>
      <c r="BD346" s="2002">
        <f>IF(Construction!$F$31=Construction!$R$22,Oeko!DQ346,Oeko!GD346)</f>
        <v>0.97975662301212196</v>
      </c>
      <c r="BE346" s="2002">
        <f>IF(Construction!$F$31=Construction!$R$22,Oeko!DR346,Oeko!GE346)</f>
        <v>0.97975662301212196</v>
      </c>
      <c r="BF346" s="2002">
        <f>IF(Construction!$F$31=Construction!$R$22,Oeko!DS346,Oeko!GF346)</f>
        <v>0.97975662301212196</v>
      </c>
      <c r="BG346" s="2004">
        <f>IF(Construction!$F$31=Construction!$R$22,Oeko!DT346,Oeko!GG346)</f>
        <v>0.97614876347816082</v>
      </c>
      <c r="BH346" s="2004">
        <f>IF(Construction!$F$31=Construction!$R$22,Oeko!DU346,Oeko!GH346)</f>
        <v>0.97614876347816082</v>
      </c>
      <c r="BI346" s="2004">
        <f>IF(Construction!$F$31=Construction!$R$22,Oeko!DV346,Oeko!GI346)</f>
        <v>0.97614876347816082</v>
      </c>
      <c r="BJ346" s="2004">
        <f>IF(Construction!$F$31=Construction!$R$22,Oeko!DW346,Oeko!GJ346)</f>
        <v>0.97614876347816082</v>
      </c>
      <c r="BK346" s="2024">
        <f>IF(Construction!$F$31=Construction!$R$22,Oeko!DX346,Oeko!GK346)</f>
        <v>0.97614876347816082</v>
      </c>
      <c r="BN346" s="2025" t="str">
        <f>Uebersetzung!$D631</f>
        <v>Contruction massive légère</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Contruction massive légère</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IF(Construction!$F$31=Construction!$R$22,Oeko!BQ347,Oeko!ED347)</f>
        <v>1.0694444444444444</v>
      </c>
      <c r="E347" s="1979">
        <f>IF(Construction!$F$31=Construction!$R$22,Oeko!BR347,Oeko!EE347)</f>
        <v>1.0694444444444444</v>
      </c>
      <c r="F347" s="1979">
        <f>IF(Construction!$F$31=Construction!$R$22,Oeko!BS347,Oeko!EF347)</f>
        <v>1.0694444444444444</v>
      </c>
      <c r="G347" s="1979">
        <f>IF(Construction!$F$31=Construction!$R$22,Oeko!BT347,Oeko!EG347)</f>
        <v>1.0694444444444444</v>
      </c>
      <c r="H347" s="1979">
        <f>IF(Construction!$F$31=Construction!$R$22,Oeko!BU347,Oeko!EH347)</f>
        <v>1.0694444444444444</v>
      </c>
      <c r="I347" s="1998">
        <f>IF(Construction!$F$31=Construction!$R$22,Oeko!BV347,Oeko!EI347)</f>
        <v>1.5999999999999996</v>
      </c>
      <c r="J347" s="1998">
        <f>IF(Construction!$F$31=Construction!$R$22,Oeko!BW347,Oeko!EJ347)</f>
        <v>1.5999999999999996</v>
      </c>
      <c r="K347" s="1998">
        <f>IF(Construction!$F$31=Construction!$R$22,Oeko!BX347,Oeko!EK347)</f>
        <v>1.5999999999999996</v>
      </c>
      <c r="L347" s="1998">
        <f>IF(Construction!$F$31=Construction!$R$22,Oeko!BY347,Oeko!EL347)</f>
        <v>1.5999999999999996</v>
      </c>
      <c r="M347" s="1998">
        <f>IF(Construction!$F$31=Construction!$R$22,Oeko!BZ347,Oeko!EM347)</f>
        <v>1.5999999999999996</v>
      </c>
      <c r="N347" s="1979">
        <f>IF(Construction!$F$31=Construction!$R$22,Oeko!CA347,Oeko!EN347)</f>
        <v>1.0389610389610391</v>
      </c>
      <c r="O347" s="1979">
        <f>IF(Construction!$F$31=Construction!$R$22,Oeko!CB347,Oeko!EO347)</f>
        <v>1.0389610389610391</v>
      </c>
      <c r="P347" s="1979">
        <f>IF(Construction!$F$31=Construction!$R$22,Oeko!CC347,Oeko!EP347)</f>
        <v>1.0389610389610391</v>
      </c>
      <c r="Q347" s="1979">
        <f>IF(Construction!$F$31=Construction!$R$22,Oeko!CD347,Oeko!EQ347)</f>
        <v>1.0389610389610391</v>
      </c>
      <c r="R347" s="1979">
        <f>IF(Construction!$F$31=Construction!$R$22,Oeko!CE347,Oeko!ER347)</f>
        <v>1.0389610389610391</v>
      </c>
      <c r="S347" s="1998">
        <f>IF(Construction!$F$31=Construction!$R$22,Oeko!CF347,Oeko!ES347)</f>
        <v>1.3333333333333335</v>
      </c>
      <c r="T347" s="1998">
        <f>IF(Construction!$F$31=Construction!$R$22,Oeko!CG347,Oeko!ET347)</f>
        <v>1.3333333333333335</v>
      </c>
      <c r="U347" s="1998">
        <f>IF(Construction!$F$31=Construction!$R$22,Oeko!CH347,Oeko!EU347)</f>
        <v>1.3333333333333335</v>
      </c>
      <c r="V347" s="1998">
        <f>IF(Construction!$F$31=Construction!$R$22,Oeko!CI347,Oeko!EV347)</f>
        <v>1.3333333333333335</v>
      </c>
      <c r="W347" s="1998">
        <f>IF(Construction!$F$31=Construction!$R$22,Oeko!CJ347,Oeko!EW347)</f>
        <v>1.3333333333333335</v>
      </c>
      <c r="X347" s="1979">
        <f>IF(Construction!$F$31=Construction!$R$22,Oeko!CK347,Oeko!EX347)</f>
        <v>1.0285714285714285</v>
      </c>
      <c r="Y347" s="1979">
        <f>IF(Construction!$F$31=Construction!$R$22,Oeko!CL347,Oeko!EY347)</f>
        <v>1.0285714285714285</v>
      </c>
      <c r="Z347" s="1979">
        <f>IF(Construction!$F$31=Construction!$R$22,Oeko!CM347,Oeko!EZ347)</f>
        <v>1.0285714285714285</v>
      </c>
      <c r="AA347" s="1979">
        <f>IF(Construction!$F$31=Construction!$R$22,Oeko!CN347,Oeko!FA347)</f>
        <v>1.0285714285714285</v>
      </c>
      <c r="AB347" s="1979">
        <f>IF(Construction!$F$31=Construction!$R$22,Oeko!CO347,Oeko!FB347)</f>
        <v>1.0285714285714285</v>
      </c>
      <c r="AC347" s="1998">
        <f>IF(Construction!$F$31=Construction!$R$22,Oeko!CP347,Oeko!FC347)</f>
        <v>1.0000000000000002</v>
      </c>
      <c r="AD347" s="1998">
        <f>IF(Construction!$F$31=Construction!$R$22,Oeko!CQ347,Oeko!FD347)</f>
        <v>1.0000000000000002</v>
      </c>
      <c r="AE347" s="1998">
        <f>IF(Construction!$F$31=Construction!$R$22,Oeko!CR347,Oeko!FE347)</f>
        <v>1.0000000000000002</v>
      </c>
      <c r="AF347" s="1998">
        <f>IF(Construction!$F$31=Construction!$R$22,Oeko!CS347,Oeko!FF347)</f>
        <v>1.0000000000000002</v>
      </c>
      <c r="AG347" s="1998">
        <f>IF(Construction!$F$31=Construction!$R$22,Oeko!CT347,Oeko!FG347)</f>
        <v>1.0000000000000002</v>
      </c>
      <c r="AH347" s="1979">
        <f>IF(Construction!$F$31=Construction!$R$22,Oeko!CU347,Oeko!FH347)</f>
        <v>1.5</v>
      </c>
      <c r="AI347" s="1979">
        <f>IF(Construction!$F$31=Construction!$R$22,Oeko!CV347,Oeko!FI347)</f>
        <v>1.5</v>
      </c>
      <c r="AJ347" s="1979">
        <f>IF(Construction!$F$31=Construction!$R$22,Oeko!CW347,Oeko!FJ347)</f>
        <v>1.5</v>
      </c>
      <c r="AK347" s="1979">
        <f>IF(Construction!$F$31=Construction!$R$22,Oeko!CX347,Oeko!FK347)</f>
        <v>1.5</v>
      </c>
      <c r="AL347" s="1979">
        <f>IF(Construction!$F$31=Construction!$R$22,Oeko!CY347,Oeko!FL347)</f>
        <v>1.5</v>
      </c>
      <c r="AM347" s="1998">
        <f>IF(Construction!$F$31=Construction!$R$22,Oeko!CZ347,Oeko!FM347)</f>
        <v>1.2</v>
      </c>
      <c r="AN347" s="1998">
        <f>IF(Construction!$F$31=Construction!$R$22,Oeko!DA347,Oeko!FN347)</f>
        <v>1.2</v>
      </c>
      <c r="AO347" s="1998">
        <f>IF(Construction!$F$31=Construction!$R$22,Oeko!DB347,Oeko!FO347)</f>
        <v>1.2</v>
      </c>
      <c r="AP347" s="1998">
        <f>IF(Construction!$F$31=Construction!$R$22,Oeko!DC347,Oeko!FP347)</f>
        <v>1.2</v>
      </c>
      <c r="AQ347" s="1998">
        <f>IF(Construction!$F$31=Construction!$R$22,Oeko!DD347,Oeko!FQ347)</f>
        <v>1.2</v>
      </c>
      <c r="AR347" s="1979">
        <f>IF(Construction!$F$31=Construction!$R$22,Oeko!DE347,Oeko!FR347)</f>
        <v>13.414766276535909</v>
      </c>
      <c r="AS347" s="1979">
        <f>IF(Construction!$F$31=Construction!$R$22,Oeko!DF347,Oeko!FS347)</f>
        <v>13.414766276535909</v>
      </c>
      <c r="AT347" s="1979">
        <f>IF(Construction!$F$31=Construction!$R$22,Oeko!DG347,Oeko!FT347)</f>
        <v>13.414766276535909</v>
      </c>
      <c r="AU347" s="1979">
        <f>IF(Construction!$F$31=Construction!$R$22,Oeko!DH347,Oeko!FU347)</f>
        <v>13.414766276535909</v>
      </c>
      <c r="AV347" s="1979">
        <f>IF(Construction!$F$31=Construction!$R$22,Oeko!DI347,Oeko!FV347)</f>
        <v>13.414766276535909</v>
      </c>
      <c r="AW347" s="1998">
        <f>IF(Construction!$F$31=Construction!$R$22,Oeko!DJ347,Oeko!FW347)</f>
        <v>12.852649866938734</v>
      </c>
      <c r="AX347" s="1998">
        <f>IF(Construction!$F$31=Construction!$R$22,Oeko!DK347,Oeko!FX347)</f>
        <v>12.852649866938734</v>
      </c>
      <c r="AY347" s="1998">
        <f>IF(Construction!$F$31=Construction!$R$22,Oeko!DL347,Oeko!FY347)</f>
        <v>12.852649866938734</v>
      </c>
      <c r="AZ347" s="1998">
        <f>IF(Construction!$F$31=Construction!$R$22,Oeko!DM347,Oeko!FZ347)</f>
        <v>12.852649866938734</v>
      </c>
      <c r="BA347" s="1998">
        <f>IF(Construction!$F$31=Construction!$R$22,Oeko!DN347,Oeko!GA347)</f>
        <v>12.852649866938734</v>
      </c>
      <c r="BB347" s="1979">
        <f>IF(Construction!$F$31=Construction!$R$22,Oeko!DO347,Oeko!GB347)</f>
        <v>0.97975662301212174</v>
      </c>
      <c r="BC347" s="1979">
        <f>IF(Construction!$F$31=Construction!$R$22,Oeko!DP347,Oeko!GC347)</f>
        <v>0.97975662301212174</v>
      </c>
      <c r="BD347" s="1979">
        <f>IF(Construction!$F$31=Construction!$R$22,Oeko!DQ347,Oeko!GD347)</f>
        <v>0.97975662301212174</v>
      </c>
      <c r="BE347" s="1979">
        <f>IF(Construction!$F$31=Construction!$R$22,Oeko!DR347,Oeko!GE347)</f>
        <v>0.97975662301212174</v>
      </c>
      <c r="BF347" s="1979">
        <f>IF(Construction!$F$31=Construction!$R$22,Oeko!DS347,Oeko!GF347)</f>
        <v>0.97975662301212174</v>
      </c>
      <c r="BG347" s="1998">
        <f>IF(Construction!$F$31=Construction!$R$22,Oeko!DT347,Oeko!GG347)</f>
        <v>0.9761487634781606</v>
      </c>
      <c r="BH347" s="1998">
        <f>IF(Construction!$F$31=Construction!$R$22,Oeko!DU347,Oeko!GH347)</f>
        <v>0.9761487634781606</v>
      </c>
      <c r="BI347" s="1998">
        <f>IF(Construction!$F$31=Construction!$R$22,Oeko!DV347,Oeko!GI347)</f>
        <v>0.9761487634781606</v>
      </c>
      <c r="BJ347" s="1998">
        <f>IF(Construction!$F$31=Construction!$R$22,Oeko!DW347,Oeko!GJ347)</f>
        <v>0.9761487634781606</v>
      </c>
      <c r="BK347" s="2026">
        <f>IF(Construction!$F$31=Construction!$R$22,Oeko!DX347,Oeko!GK347)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IF(Construction!$F$31=Construction!$R$22,Oeko!BQ348,Oeko!ED348)</f>
        <v>1.0606060606060606</v>
      </c>
      <c r="E348" s="1979">
        <f>IF(Construction!$F$31=Construction!$R$22,Oeko!BR348,Oeko!EE348)</f>
        <v>1.0606060606060606</v>
      </c>
      <c r="F348" s="1979">
        <f>IF(Construction!$F$31=Construction!$R$22,Oeko!BS348,Oeko!EF348)</f>
        <v>1.0606060606060606</v>
      </c>
      <c r="G348" s="1979">
        <f>IF(Construction!$F$31=Construction!$R$22,Oeko!BT348,Oeko!EG348)</f>
        <v>1.0606060606060606</v>
      </c>
      <c r="H348" s="1979">
        <f>IF(Construction!$F$31=Construction!$R$22,Oeko!BU348,Oeko!EH348)</f>
        <v>1.0606060606060606</v>
      </c>
      <c r="I348" s="1998">
        <f>IF(Construction!$F$31=Construction!$R$22,Oeko!BV348,Oeko!EI348)</f>
        <v>1.5</v>
      </c>
      <c r="J348" s="1998">
        <f>IF(Construction!$F$31=Construction!$R$22,Oeko!BW348,Oeko!EJ348)</f>
        <v>1.5</v>
      </c>
      <c r="K348" s="1998">
        <f>IF(Construction!$F$31=Construction!$R$22,Oeko!BX348,Oeko!EK348)</f>
        <v>1.5</v>
      </c>
      <c r="L348" s="1998">
        <f>IF(Construction!$F$31=Construction!$R$22,Oeko!BY348,Oeko!EL348)</f>
        <v>1.5</v>
      </c>
      <c r="M348" s="1998">
        <f>IF(Construction!$F$31=Construction!$R$22,Oeko!BZ348,Oeko!EM348)</f>
        <v>1.5</v>
      </c>
      <c r="N348" s="1979">
        <f>IF(Construction!$F$31=Construction!$R$22,Oeko!CA348,Oeko!EN348)</f>
        <v>1.0285714285714287</v>
      </c>
      <c r="O348" s="1979">
        <f>IF(Construction!$F$31=Construction!$R$22,Oeko!CB348,Oeko!EO348)</f>
        <v>1.0285714285714287</v>
      </c>
      <c r="P348" s="1979">
        <f>IF(Construction!$F$31=Construction!$R$22,Oeko!CC348,Oeko!EP348)</f>
        <v>1.0285714285714287</v>
      </c>
      <c r="Q348" s="1979">
        <f>IF(Construction!$F$31=Construction!$R$22,Oeko!CD348,Oeko!EQ348)</f>
        <v>1.0285714285714287</v>
      </c>
      <c r="R348" s="1979">
        <f>IF(Construction!$F$31=Construction!$R$22,Oeko!CE348,Oeko!ER348)</f>
        <v>1.0285714285714287</v>
      </c>
      <c r="S348" s="1998">
        <f>IF(Construction!$F$31=Construction!$R$22,Oeko!CF348,Oeko!ES348)</f>
        <v>1.3125000000000002</v>
      </c>
      <c r="T348" s="1998">
        <f>IF(Construction!$F$31=Construction!$R$22,Oeko!CG348,Oeko!ET348)</f>
        <v>1.3125000000000002</v>
      </c>
      <c r="U348" s="1998">
        <f>IF(Construction!$F$31=Construction!$R$22,Oeko!CH348,Oeko!EU348)</f>
        <v>1.3125000000000002</v>
      </c>
      <c r="V348" s="1998">
        <f>IF(Construction!$F$31=Construction!$R$22,Oeko!CI348,Oeko!EV348)</f>
        <v>1.3125000000000002</v>
      </c>
      <c r="W348" s="1998">
        <f>IF(Construction!$F$31=Construction!$R$22,Oeko!CJ348,Oeko!EW348)</f>
        <v>1.3125000000000002</v>
      </c>
      <c r="X348" s="1979">
        <f>IF(Construction!$F$31=Construction!$R$22,Oeko!CK348,Oeko!EX348)</f>
        <v>0.99999999999999989</v>
      </c>
      <c r="Y348" s="1979">
        <f>IF(Construction!$F$31=Construction!$R$22,Oeko!CL348,Oeko!EY348)</f>
        <v>0.99999999999999989</v>
      </c>
      <c r="Z348" s="1979">
        <f>IF(Construction!$F$31=Construction!$R$22,Oeko!CM348,Oeko!EZ348)</f>
        <v>0.99999999999999989</v>
      </c>
      <c r="AA348" s="1979">
        <f>IF(Construction!$F$31=Construction!$R$22,Oeko!CN348,Oeko!FA348)</f>
        <v>0.99999999999999989</v>
      </c>
      <c r="AB348" s="1979">
        <f>IF(Construction!$F$31=Construction!$R$22,Oeko!CO348,Oeko!FB348)</f>
        <v>0.99999999999999989</v>
      </c>
      <c r="AC348" s="1998">
        <f>IF(Construction!$F$31=Construction!$R$22,Oeko!CP348,Oeko!FC348)</f>
        <v>1.0000000000000002</v>
      </c>
      <c r="AD348" s="1998">
        <f>IF(Construction!$F$31=Construction!$R$22,Oeko!CQ348,Oeko!FD348)</f>
        <v>1.0000000000000002</v>
      </c>
      <c r="AE348" s="1998">
        <f>IF(Construction!$F$31=Construction!$R$22,Oeko!CR348,Oeko!FE348)</f>
        <v>1.0000000000000002</v>
      </c>
      <c r="AF348" s="1998">
        <f>IF(Construction!$F$31=Construction!$R$22,Oeko!CS348,Oeko!FF348)</f>
        <v>1.0000000000000002</v>
      </c>
      <c r="AG348" s="1998">
        <f>IF(Construction!$F$31=Construction!$R$22,Oeko!CT348,Oeko!FG348)</f>
        <v>1.0000000000000002</v>
      </c>
      <c r="AH348" s="1979">
        <f>IF(Construction!$F$31=Construction!$R$22,Oeko!CU348,Oeko!FH348)</f>
        <v>1.5</v>
      </c>
      <c r="AI348" s="1979">
        <f>IF(Construction!$F$31=Construction!$R$22,Oeko!CV348,Oeko!FI348)</f>
        <v>1.5</v>
      </c>
      <c r="AJ348" s="1979">
        <f>IF(Construction!$F$31=Construction!$R$22,Oeko!CW348,Oeko!FJ348)</f>
        <v>1.5</v>
      </c>
      <c r="AK348" s="1979">
        <f>IF(Construction!$F$31=Construction!$R$22,Oeko!CX348,Oeko!FK348)</f>
        <v>1.5</v>
      </c>
      <c r="AL348" s="1979">
        <f>IF(Construction!$F$31=Construction!$R$22,Oeko!CY348,Oeko!FL348)</f>
        <v>1.5</v>
      </c>
      <c r="AM348" s="1998">
        <f>IF(Construction!$F$31=Construction!$R$22,Oeko!CZ348,Oeko!FM348)</f>
        <v>1.1428571428571428</v>
      </c>
      <c r="AN348" s="1998">
        <f>IF(Construction!$F$31=Construction!$R$22,Oeko!DA348,Oeko!FN348)</f>
        <v>1.1428571428571428</v>
      </c>
      <c r="AO348" s="1998">
        <f>IF(Construction!$F$31=Construction!$R$22,Oeko!DB348,Oeko!FO348)</f>
        <v>1.1428571428571428</v>
      </c>
      <c r="AP348" s="1998">
        <f>IF(Construction!$F$31=Construction!$R$22,Oeko!DC348,Oeko!FP348)</f>
        <v>1.1428571428571428</v>
      </c>
      <c r="AQ348" s="1998">
        <f>IF(Construction!$F$31=Construction!$R$22,Oeko!DD348,Oeko!FQ348)</f>
        <v>1.1428571428571428</v>
      </c>
      <c r="AR348" s="1979">
        <f>IF(Construction!$F$31=Construction!$R$22,Oeko!DE348,Oeko!FR348)</f>
        <v>12.878175625474475</v>
      </c>
      <c r="AS348" s="1979">
        <f>IF(Construction!$F$31=Construction!$R$22,Oeko!DF348,Oeko!FS348)</f>
        <v>12.878175625474475</v>
      </c>
      <c r="AT348" s="1979">
        <f>IF(Construction!$F$31=Construction!$R$22,Oeko!DG348,Oeko!FT348)</f>
        <v>12.878175625474475</v>
      </c>
      <c r="AU348" s="1979">
        <f>IF(Construction!$F$31=Construction!$R$22,Oeko!DH348,Oeko!FU348)</f>
        <v>12.878175625474475</v>
      </c>
      <c r="AV348" s="1979">
        <f>IF(Construction!$F$31=Construction!$R$22,Oeko!DI348,Oeko!FV348)</f>
        <v>12.878175625474475</v>
      </c>
      <c r="AW348" s="1998">
        <f>IF(Construction!$F$31=Construction!$R$22,Oeko!DJ348,Oeko!FW348)</f>
        <v>12.852649866938734</v>
      </c>
      <c r="AX348" s="1998">
        <f>IF(Construction!$F$31=Construction!$R$22,Oeko!DK348,Oeko!FX348)</f>
        <v>12.852649866938734</v>
      </c>
      <c r="AY348" s="1998">
        <f>IF(Construction!$F$31=Construction!$R$22,Oeko!DL348,Oeko!FY348)</f>
        <v>12.852649866938734</v>
      </c>
      <c r="AZ348" s="1998">
        <f>IF(Construction!$F$31=Construction!$R$22,Oeko!DM348,Oeko!FZ348)</f>
        <v>12.852649866938734</v>
      </c>
      <c r="BA348" s="1998">
        <f>IF(Construction!$F$31=Construction!$R$22,Oeko!DN348,Oeko!GA348)</f>
        <v>12.852649866938734</v>
      </c>
      <c r="BB348" s="1979">
        <f>IF(Construction!$F$31=Construction!$R$22,Oeko!DO348,Oeko!GB348)</f>
        <v>0.97975662301212196</v>
      </c>
      <c r="BC348" s="1979">
        <f>IF(Construction!$F$31=Construction!$R$22,Oeko!DP348,Oeko!GC348)</f>
        <v>0.97975662301212196</v>
      </c>
      <c r="BD348" s="1979">
        <f>IF(Construction!$F$31=Construction!$R$22,Oeko!DQ348,Oeko!GD348)</f>
        <v>0.97975662301212196</v>
      </c>
      <c r="BE348" s="1979">
        <f>IF(Construction!$F$31=Construction!$R$22,Oeko!DR348,Oeko!GE348)</f>
        <v>0.97975662301212196</v>
      </c>
      <c r="BF348" s="1979">
        <f>IF(Construction!$F$31=Construction!$R$22,Oeko!DS348,Oeko!GF348)</f>
        <v>0.97975662301212196</v>
      </c>
      <c r="BG348" s="1998">
        <f>IF(Construction!$F$31=Construction!$R$22,Oeko!DT348,Oeko!GG348)</f>
        <v>0.9761487634781606</v>
      </c>
      <c r="BH348" s="1998">
        <f>IF(Construction!$F$31=Construction!$R$22,Oeko!DU348,Oeko!GH348)</f>
        <v>0.9761487634781606</v>
      </c>
      <c r="BI348" s="1998">
        <f>IF(Construction!$F$31=Construction!$R$22,Oeko!DV348,Oeko!GI348)</f>
        <v>0.9761487634781606</v>
      </c>
      <c r="BJ348" s="1998">
        <f>IF(Construction!$F$31=Construction!$R$22,Oeko!DW348,Oeko!GJ348)</f>
        <v>0.9761487634781606</v>
      </c>
      <c r="BK348" s="2026">
        <f>IF(Construction!$F$31=Construction!$R$22,Oeko!DX348,Oeko!GK348)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IF(Construction!$F$31=Construction!$R$22,Oeko!BQ349,Oeko!ED349)</f>
        <v>1.0606060606060606</v>
      </c>
      <c r="E349" s="1979">
        <f>IF(Construction!$F$31=Construction!$R$22,Oeko!BR349,Oeko!EE349)</f>
        <v>1.0606060606060606</v>
      </c>
      <c r="F349" s="1979">
        <f>IF(Construction!$F$31=Construction!$R$22,Oeko!BS349,Oeko!EF349)</f>
        <v>1.0606060606060606</v>
      </c>
      <c r="G349" s="1979">
        <f>IF(Construction!$F$31=Construction!$R$22,Oeko!BT349,Oeko!EG349)</f>
        <v>1.0606060606060606</v>
      </c>
      <c r="H349" s="1979">
        <f>IF(Construction!$F$31=Construction!$R$22,Oeko!BU349,Oeko!EH349)</f>
        <v>1.0606060606060606</v>
      </c>
      <c r="I349" s="1998">
        <f>IF(Construction!$F$31=Construction!$R$22,Oeko!BV349,Oeko!EI349)</f>
        <v>1.5</v>
      </c>
      <c r="J349" s="1998">
        <f>IF(Construction!$F$31=Construction!$R$22,Oeko!BW349,Oeko!EJ349)</f>
        <v>1.5</v>
      </c>
      <c r="K349" s="1998">
        <f>IF(Construction!$F$31=Construction!$R$22,Oeko!BX349,Oeko!EK349)</f>
        <v>1.5</v>
      </c>
      <c r="L349" s="1998">
        <f>IF(Construction!$F$31=Construction!$R$22,Oeko!BY349,Oeko!EL349)</f>
        <v>1.5</v>
      </c>
      <c r="M349" s="1998">
        <f>IF(Construction!$F$31=Construction!$R$22,Oeko!BZ349,Oeko!EM349)</f>
        <v>1.5</v>
      </c>
      <c r="N349" s="1979">
        <f>IF(Construction!$F$31=Construction!$R$22,Oeko!CA349,Oeko!EN349)</f>
        <v>1.0158730158730158</v>
      </c>
      <c r="O349" s="1979">
        <f>IF(Construction!$F$31=Construction!$R$22,Oeko!CB349,Oeko!EO349)</f>
        <v>1.0158730158730158</v>
      </c>
      <c r="P349" s="1979">
        <f>IF(Construction!$F$31=Construction!$R$22,Oeko!CC349,Oeko!EP349)</f>
        <v>1.0158730158730158</v>
      </c>
      <c r="Q349" s="1979">
        <f>IF(Construction!$F$31=Construction!$R$22,Oeko!CD349,Oeko!EQ349)</f>
        <v>1.0158730158730158</v>
      </c>
      <c r="R349" s="1979">
        <f>IF(Construction!$F$31=Construction!$R$22,Oeko!CE349,Oeko!ER349)</f>
        <v>1.0158730158730158</v>
      </c>
      <c r="S349" s="1998">
        <f>IF(Construction!$F$31=Construction!$R$22,Oeko!CF349,Oeko!ES349)</f>
        <v>1.25</v>
      </c>
      <c r="T349" s="1998">
        <f>IF(Construction!$F$31=Construction!$R$22,Oeko!CG349,Oeko!ET349)</f>
        <v>1.25</v>
      </c>
      <c r="U349" s="1998">
        <f>IF(Construction!$F$31=Construction!$R$22,Oeko!CH349,Oeko!EU349)</f>
        <v>1.25</v>
      </c>
      <c r="V349" s="1998">
        <f>IF(Construction!$F$31=Construction!$R$22,Oeko!CI349,Oeko!EV349)</f>
        <v>1.25</v>
      </c>
      <c r="W349" s="1998">
        <f>IF(Construction!$F$31=Construction!$R$22,Oeko!CJ349,Oeko!EW349)</f>
        <v>1.25</v>
      </c>
      <c r="X349" s="1979">
        <f>IF(Construction!$F$31=Construction!$R$22,Oeko!CK349,Oeko!EX349)</f>
        <v>0.99999999999999989</v>
      </c>
      <c r="Y349" s="1979">
        <f>IF(Construction!$F$31=Construction!$R$22,Oeko!CL349,Oeko!EY349)</f>
        <v>0.99999999999999989</v>
      </c>
      <c r="Z349" s="1979">
        <f>IF(Construction!$F$31=Construction!$R$22,Oeko!CM349,Oeko!EZ349)</f>
        <v>0.99999999999999989</v>
      </c>
      <c r="AA349" s="1979">
        <f>IF(Construction!$F$31=Construction!$R$22,Oeko!CN349,Oeko!FA349)</f>
        <v>0.99999999999999989</v>
      </c>
      <c r="AB349" s="1979">
        <f>IF(Construction!$F$31=Construction!$R$22,Oeko!CO349,Oeko!FB349)</f>
        <v>0.99999999999999989</v>
      </c>
      <c r="AC349" s="1998">
        <f>IF(Construction!$F$31=Construction!$R$22,Oeko!CP349,Oeko!FC349)</f>
        <v>1.0000000000000002</v>
      </c>
      <c r="AD349" s="1998">
        <f>IF(Construction!$F$31=Construction!$R$22,Oeko!CQ349,Oeko!FD349)</f>
        <v>1.0000000000000002</v>
      </c>
      <c r="AE349" s="1998">
        <f>IF(Construction!$F$31=Construction!$R$22,Oeko!CR349,Oeko!FE349)</f>
        <v>1.0000000000000002</v>
      </c>
      <c r="AF349" s="1998">
        <f>IF(Construction!$F$31=Construction!$R$22,Oeko!CS349,Oeko!FF349)</f>
        <v>1.0000000000000002</v>
      </c>
      <c r="AG349" s="1998">
        <f>IF(Construction!$F$31=Construction!$R$22,Oeko!CT349,Oeko!FG349)</f>
        <v>1.0000000000000002</v>
      </c>
      <c r="AH349" s="1979">
        <f>IF(Construction!$F$31=Construction!$R$22,Oeko!CU349,Oeko!FH349)</f>
        <v>1.3333333333333333</v>
      </c>
      <c r="AI349" s="1979">
        <f>IF(Construction!$F$31=Construction!$R$22,Oeko!CV349,Oeko!FI349)</f>
        <v>1.3333333333333333</v>
      </c>
      <c r="AJ349" s="1979">
        <f>IF(Construction!$F$31=Construction!$R$22,Oeko!CW349,Oeko!FJ349)</f>
        <v>1.3333333333333333</v>
      </c>
      <c r="AK349" s="1979">
        <f>IF(Construction!$F$31=Construction!$R$22,Oeko!CX349,Oeko!FK349)</f>
        <v>1.3333333333333333</v>
      </c>
      <c r="AL349" s="1979">
        <f>IF(Construction!$F$31=Construction!$R$22,Oeko!CY349,Oeko!FL349)</f>
        <v>1.3333333333333333</v>
      </c>
      <c r="AM349" s="1998">
        <f>IF(Construction!$F$31=Construction!$R$22,Oeko!CZ349,Oeko!FM349)</f>
        <v>1.1428571428571428</v>
      </c>
      <c r="AN349" s="1998">
        <f>IF(Construction!$F$31=Construction!$R$22,Oeko!DA349,Oeko!FN349)</f>
        <v>1.1428571428571428</v>
      </c>
      <c r="AO349" s="1998">
        <f>IF(Construction!$F$31=Construction!$R$22,Oeko!DB349,Oeko!FO349)</f>
        <v>1.1428571428571428</v>
      </c>
      <c r="AP349" s="1998">
        <f>IF(Construction!$F$31=Construction!$R$22,Oeko!DC349,Oeko!FP349)</f>
        <v>1.1428571428571428</v>
      </c>
      <c r="AQ349" s="1998">
        <f>IF(Construction!$F$31=Construction!$R$22,Oeko!DD349,Oeko!FQ349)</f>
        <v>1.1428571428571428</v>
      </c>
      <c r="AR349" s="1979">
        <f>IF(Construction!$F$31=Construction!$R$22,Oeko!DE349,Oeko!FR349)</f>
        <v>12.073289648882321</v>
      </c>
      <c r="AS349" s="1979">
        <f>IF(Construction!$F$31=Construction!$R$22,Oeko!DF349,Oeko!FS349)</f>
        <v>12.073289648882321</v>
      </c>
      <c r="AT349" s="1979">
        <f>IF(Construction!$F$31=Construction!$R$22,Oeko!DG349,Oeko!FT349)</f>
        <v>12.073289648882321</v>
      </c>
      <c r="AU349" s="1979">
        <f>IF(Construction!$F$31=Construction!$R$22,Oeko!DH349,Oeko!FU349)</f>
        <v>12.073289648882321</v>
      </c>
      <c r="AV349" s="1979">
        <f>IF(Construction!$F$31=Construction!$R$22,Oeko!DI349,Oeko!FV349)</f>
        <v>12.073289648882321</v>
      </c>
      <c r="AW349" s="1998">
        <f>IF(Construction!$F$31=Construction!$R$22,Oeko!DJ349,Oeko!FW349)</f>
        <v>12.049359250255064</v>
      </c>
      <c r="AX349" s="1998">
        <f>IF(Construction!$F$31=Construction!$R$22,Oeko!DK349,Oeko!FX349)</f>
        <v>12.049359250255064</v>
      </c>
      <c r="AY349" s="1998">
        <f>IF(Construction!$F$31=Construction!$R$22,Oeko!DL349,Oeko!FY349)</f>
        <v>12.049359250255064</v>
      </c>
      <c r="AZ349" s="1998">
        <f>IF(Construction!$F$31=Construction!$R$22,Oeko!DM349,Oeko!FZ349)</f>
        <v>12.049359250255064</v>
      </c>
      <c r="BA349" s="1998">
        <f>IF(Construction!$F$31=Construction!$R$22,Oeko!DN349,Oeko!GA349)</f>
        <v>12.049359250255064</v>
      </c>
      <c r="BB349" s="1979">
        <f>IF(Construction!$F$31=Construction!$R$22,Oeko!DO349,Oeko!GB349)</f>
        <v>0.97975662301212196</v>
      </c>
      <c r="BC349" s="1979">
        <f>IF(Construction!$F$31=Construction!$R$22,Oeko!DP349,Oeko!GC349)</f>
        <v>0.97975662301212196</v>
      </c>
      <c r="BD349" s="1979">
        <f>IF(Construction!$F$31=Construction!$R$22,Oeko!DQ349,Oeko!GD349)</f>
        <v>0.97975662301212196</v>
      </c>
      <c r="BE349" s="1979">
        <f>IF(Construction!$F$31=Construction!$R$22,Oeko!DR349,Oeko!GE349)</f>
        <v>0.97975662301212196</v>
      </c>
      <c r="BF349" s="1979">
        <f>IF(Construction!$F$31=Construction!$R$22,Oeko!DS349,Oeko!GF349)</f>
        <v>0.97975662301212196</v>
      </c>
      <c r="BG349" s="1998">
        <f>IF(Construction!$F$31=Construction!$R$22,Oeko!DT349,Oeko!GG349)</f>
        <v>0.9761487634781606</v>
      </c>
      <c r="BH349" s="1998">
        <f>IF(Construction!$F$31=Construction!$R$22,Oeko!DU349,Oeko!GH349)</f>
        <v>0.9761487634781606</v>
      </c>
      <c r="BI349" s="1998">
        <f>IF(Construction!$F$31=Construction!$R$22,Oeko!DV349,Oeko!GI349)</f>
        <v>0.9761487634781606</v>
      </c>
      <c r="BJ349" s="1998">
        <f>IF(Construction!$F$31=Construction!$R$22,Oeko!DW349,Oeko!GJ349)</f>
        <v>0.9761487634781606</v>
      </c>
      <c r="BK349" s="2026">
        <f>IF(Construction!$F$31=Construction!$R$22,Oeko!DX349,Oeko!GK349)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IF(Construction!$F$31=Construction!$R$22,Oeko!BQ350,Oeko!ED350)</f>
        <v>1.0606060606060606</v>
      </c>
      <c r="E350" s="1979">
        <f>IF(Construction!$F$31=Construction!$R$22,Oeko!BR350,Oeko!EE350)</f>
        <v>1.0606060606060606</v>
      </c>
      <c r="F350" s="1979">
        <f>IF(Construction!$F$31=Construction!$R$22,Oeko!BS350,Oeko!EF350)</f>
        <v>1.0606060606060606</v>
      </c>
      <c r="G350" s="1979">
        <f>IF(Construction!$F$31=Construction!$R$22,Oeko!BT350,Oeko!EG350)</f>
        <v>1.0606060606060606</v>
      </c>
      <c r="H350" s="1979">
        <f>IF(Construction!$F$31=Construction!$R$22,Oeko!BU350,Oeko!EH350)</f>
        <v>1.0606060606060606</v>
      </c>
      <c r="I350" s="1998">
        <f>IF(Construction!$F$31=Construction!$R$22,Oeko!BV350,Oeko!EI350)</f>
        <v>1.4999999999999998</v>
      </c>
      <c r="J350" s="1998">
        <f>IF(Construction!$F$31=Construction!$R$22,Oeko!BW350,Oeko!EJ350)</f>
        <v>1.4999999999999998</v>
      </c>
      <c r="K350" s="1998">
        <f>IF(Construction!$F$31=Construction!$R$22,Oeko!BX350,Oeko!EK350)</f>
        <v>1.4999999999999998</v>
      </c>
      <c r="L350" s="1998">
        <f>IF(Construction!$F$31=Construction!$R$22,Oeko!BY350,Oeko!EL350)</f>
        <v>1.4999999999999998</v>
      </c>
      <c r="M350" s="1998">
        <f>IF(Construction!$F$31=Construction!$R$22,Oeko!BZ350,Oeko!EM350)</f>
        <v>1.4999999999999998</v>
      </c>
      <c r="N350" s="1979">
        <f>IF(Construction!$F$31=Construction!$R$22,Oeko!CA350,Oeko!EN350)</f>
        <v>1.015873015873016</v>
      </c>
      <c r="O350" s="1979">
        <f>IF(Construction!$F$31=Construction!$R$22,Oeko!CB350,Oeko!EO350)</f>
        <v>1.015873015873016</v>
      </c>
      <c r="P350" s="1979">
        <f>IF(Construction!$F$31=Construction!$R$22,Oeko!CC350,Oeko!EP350)</f>
        <v>1.015873015873016</v>
      </c>
      <c r="Q350" s="1979">
        <f>IF(Construction!$F$31=Construction!$R$22,Oeko!CD350,Oeko!EQ350)</f>
        <v>1.015873015873016</v>
      </c>
      <c r="R350" s="1979">
        <f>IF(Construction!$F$31=Construction!$R$22,Oeko!CE350,Oeko!ER350)</f>
        <v>1.015873015873016</v>
      </c>
      <c r="S350" s="1998">
        <f>IF(Construction!$F$31=Construction!$R$22,Oeko!CF350,Oeko!ES350)</f>
        <v>1.25</v>
      </c>
      <c r="T350" s="1998">
        <f>IF(Construction!$F$31=Construction!$R$22,Oeko!CG350,Oeko!ET350)</f>
        <v>1.25</v>
      </c>
      <c r="U350" s="1998">
        <f>IF(Construction!$F$31=Construction!$R$22,Oeko!CH350,Oeko!EU350)</f>
        <v>1.25</v>
      </c>
      <c r="V350" s="1998">
        <f>IF(Construction!$F$31=Construction!$R$22,Oeko!CI350,Oeko!EV350)</f>
        <v>1.25</v>
      </c>
      <c r="W350" s="1998">
        <f>IF(Construction!$F$31=Construction!$R$22,Oeko!CJ350,Oeko!EW350)</f>
        <v>1.25</v>
      </c>
      <c r="X350" s="1979">
        <f>IF(Construction!$F$31=Construction!$R$22,Oeko!CK350,Oeko!EX350)</f>
        <v>1</v>
      </c>
      <c r="Y350" s="1979">
        <f>IF(Construction!$F$31=Construction!$R$22,Oeko!CL350,Oeko!EY350)</f>
        <v>1</v>
      </c>
      <c r="Z350" s="1979">
        <f>IF(Construction!$F$31=Construction!$R$22,Oeko!CM350,Oeko!EZ350)</f>
        <v>1</v>
      </c>
      <c r="AA350" s="1979">
        <f>IF(Construction!$F$31=Construction!$R$22,Oeko!CN350,Oeko!FA350)</f>
        <v>1</v>
      </c>
      <c r="AB350" s="1979">
        <f>IF(Construction!$F$31=Construction!$R$22,Oeko!CO350,Oeko!FB350)</f>
        <v>1</v>
      </c>
      <c r="AC350" s="1998">
        <f>IF(Construction!$F$31=Construction!$R$22,Oeko!CP350,Oeko!FC350)</f>
        <v>1</v>
      </c>
      <c r="AD350" s="1998">
        <f>IF(Construction!$F$31=Construction!$R$22,Oeko!CQ350,Oeko!FD350)</f>
        <v>1</v>
      </c>
      <c r="AE350" s="1998">
        <f>IF(Construction!$F$31=Construction!$R$22,Oeko!CR350,Oeko!FE350)</f>
        <v>1</v>
      </c>
      <c r="AF350" s="1998">
        <f>IF(Construction!$F$31=Construction!$R$22,Oeko!CS350,Oeko!FF350)</f>
        <v>1</v>
      </c>
      <c r="AG350" s="1998">
        <f>IF(Construction!$F$31=Construction!$R$22,Oeko!CT350,Oeko!FG350)</f>
        <v>1</v>
      </c>
      <c r="AH350" s="1979">
        <f>IF(Construction!$F$31=Construction!$R$22,Oeko!CU350,Oeko!FH350)</f>
        <v>1.3333333333333333</v>
      </c>
      <c r="AI350" s="1979">
        <f>IF(Construction!$F$31=Construction!$R$22,Oeko!CV350,Oeko!FI350)</f>
        <v>1.3333333333333333</v>
      </c>
      <c r="AJ350" s="1979">
        <f>IF(Construction!$F$31=Construction!$R$22,Oeko!CW350,Oeko!FJ350)</f>
        <v>1.3333333333333333</v>
      </c>
      <c r="AK350" s="1979">
        <f>IF(Construction!$F$31=Construction!$R$22,Oeko!CX350,Oeko!FK350)</f>
        <v>1.3333333333333333</v>
      </c>
      <c r="AL350" s="1979">
        <f>IF(Construction!$F$31=Construction!$R$22,Oeko!CY350,Oeko!FL350)</f>
        <v>1.3333333333333333</v>
      </c>
      <c r="AM350" s="1998">
        <f>IF(Construction!$F$31=Construction!$R$22,Oeko!CZ350,Oeko!FM350)</f>
        <v>1.0666666666666667</v>
      </c>
      <c r="AN350" s="1998">
        <f>IF(Construction!$F$31=Construction!$R$22,Oeko!DA350,Oeko!FN350)</f>
        <v>1.0666666666666667</v>
      </c>
      <c r="AO350" s="1998">
        <f>IF(Construction!$F$31=Construction!$R$22,Oeko!DB350,Oeko!FO350)</f>
        <v>1.0666666666666667</v>
      </c>
      <c r="AP350" s="1998">
        <f>IF(Construction!$F$31=Construction!$R$22,Oeko!DC350,Oeko!FP350)</f>
        <v>1.0666666666666667</v>
      </c>
      <c r="AQ350" s="1998">
        <f>IF(Construction!$F$31=Construction!$R$22,Oeko!DD350,Oeko!FQ350)</f>
        <v>1.0666666666666667</v>
      </c>
      <c r="AR350" s="1979">
        <f>IF(Construction!$F$31=Construction!$R$22,Oeko!DE350,Oeko!FR350)</f>
        <v>12.073289648882321</v>
      </c>
      <c r="AS350" s="1979">
        <f>IF(Construction!$F$31=Construction!$R$22,Oeko!DF350,Oeko!FS350)</f>
        <v>12.073289648882321</v>
      </c>
      <c r="AT350" s="1979">
        <f>IF(Construction!$F$31=Construction!$R$22,Oeko!DG350,Oeko!FT350)</f>
        <v>12.073289648882321</v>
      </c>
      <c r="AU350" s="1979">
        <f>IF(Construction!$F$31=Construction!$R$22,Oeko!DH350,Oeko!FU350)</f>
        <v>12.073289648882321</v>
      </c>
      <c r="AV350" s="1979">
        <f>IF(Construction!$F$31=Construction!$R$22,Oeko!DI350,Oeko!FV350)</f>
        <v>12.073289648882321</v>
      </c>
      <c r="AW350" s="1998">
        <f>IF(Construction!$F$31=Construction!$R$22,Oeko!DJ350,Oeko!FW350)</f>
        <v>10.71054155578228</v>
      </c>
      <c r="AX350" s="1998">
        <f>IF(Construction!$F$31=Construction!$R$22,Oeko!DK350,Oeko!FX350)</f>
        <v>10.71054155578228</v>
      </c>
      <c r="AY350" s="1998">
        <f>IF(Construction!$F$31=Construction!$R$22,Oeko!DL350,Oeko!FY350)</f>
        <v>10.71054155578228</v>
      </c>
      <c r="AZ350" s="1998">
        <f>IF(Construction!$F$31=Construction!$R$22,Oeko!DM350,Oeko!FZ350)</f>
        <v>10.71054155578228</v>
      </c>
      <c r="BA350" s="1998">
        <f>IF(Construction!$F$31=Construction!$R$22,Oeko!DN350,Oeko!GA350)</f>
        <v>10.71054155578228</v>
      </c>
      <c r="BB350" s="1979">
        <f>IF(Construction!$F$31=Construction!$R$22,Oeko!DO350,Oeko!GB350)</f>
        <v>0.97975662301212196</v>
      </c>
      <c r="BC350" s="1979">
        <f>IF(Construction!$F$31=Construction!$R$22,Oeko!DP350,Oeko!GC350)</f>
        <v>0.97975662301212196</v>
      </c>
      <c r="BD350" s="1979">
        <f>IF(Construction!$F$31=Construction!$R$22,Oeko!DQ350,Oeko!GD350)</f>
        <v>0.97975662301212196</v>
      </c>
      <c r="BE350" s="1979">
        <f>IF(Construction!$F$31=Construction!$R$22,Oeko!DR350,Oeko!GE350)</f>
        <v>0.97975662301212196</v>
      </c>
      <c r="BF350" s="1979">
        <f>IF(Construction!$F$31=Construction!$R$22,Oeko!DS350,Oeko!GF350)</f>
        <v>0.97975662301212196</v>
      </c>
      <c r="BG350" s="1998">
        <f>IF(Construction!$F$31=Construction!$R$22,Oeko!DT350,Oeko!GG350)</f>
        <v>0.9761487634781606</v>
      </c>
      <c r="BH350" s="1998">
        <f>IF(Construction!$F$31=Construction!$R$22,Oeko!DU350,Oeko!GH350)</f>
        <v>0.9761487634781606</v>
      </c>
      <c r="BI350" s="1998">
        <f>IF(Construction!$F$31=Construction!$R$22,Oeko!DV350,Oeko!GI350)</f>
        <v>0.9761487634781606</v>
      </c>
      <c r="BJ350" s="1998">
        <f>IF(Construction!$F$31=Construction!$R$22,Oeko!DW350,Oeko!GJ350)</f>
        <v>0.9761487634781606</v>
      </c>
      <c r="BK350" s="2026">
        <f>IF(Construction!$F$31=Construction!$R$22,Oeko!DX350,Oeko!GK350)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IF(Construction!$F$31=Construction!$R$22,Oeko!BQ351,Oeko!ED351)</f>
        <v>1</v>
      </c>
      <c r="E351" s="1979">
        <f>IF(Construction!$F$31=Construction!$R$22,Oeko!BR351,Oeko!EE351)</f>
        <v>1</v>
      </c>
      <c r="F351" s="1979">
        <f>IF(Construction!$F$31=Construction!$R$22,Oeko!BS351,Oeko!EF351)</f>
        <v>1</v>
      </c>
      <c r="G351" s="1979">
        <f>IF(Construction!$F$31=Construction!$R$22,Oeko!BT351,Oeko!EG351)</f>
        <v>1</v>
      </c>
      <c r="H351" s="1979">
        <f>IF(Construction!$F$31=Construction!$R$22,Oeko!BU351,Oeko!EH351)</f>
        <v>1</v>
      </c>
      <c r="I351" s="1998">
        <f>IF(Construction!$F$31=Construction!$R$22,Oeko!BV351,Oeko!EI351)</f>
        <v>1.333333333333333</v>
      </c>
      <c r="J351" s="1998">
        <f>IF(Construction!$F$31=Construction!$R$22,Oeko!BW351,Oeko!EJ351)</f>
        <v>1.333333333333333</v>
      </c>
      <c r="K351" s="1998">
        <f>IF(Construction!$F$31=Construction!$R$22,Oeko!BX351,Oeko!EK351)</f>
        <v>1.333333333333333</v>
      </c>
      <c r="L351" s="1998">
        <f>IF(Construction!$F$31=Construction!$R$22,Oeko!BY351,Oeko!EL351)</f>
        <v>1.333333333333333</v>
      </c>
      <c r="M351" s="1998">
        <f>IF(Construction!$F$31=Construction!$R$22,Oeko!BZ351,Oeko!EM351)</f>
        <v>1.333333333333333</v>
      </c>
      <c r="N351" s="1979">
        <f>IF(Construction!$F$31=Construction!$R$22,Oeko!CA351,Oeko!EN351)</f>
        <v>1</v>
      </c>
      <c r="O351" s="1979">
        <f>IF(Construction!$F$31=Construction!$R$22,Oeko!CB351,Oeko!EO351)</f>
        <v>1</v>
      </c>
      <c r="P351" s="1979">
        <f>IF(Construction!$F$31=Construction!$R$22,Oeko!CC351,Oeko!EP351)</f>
        <v>1</v>
      </c>
      <c r="Q351" s="1979">
        <f>IF(Construction!$F$31=Construction!$R$22,Oeko!CD351,Oeko!EQ351)</f>
        <v>1</v>
      </c>
      <c r="R351" s="1979">
        <f>IF(Construction!$F$31=Construction!$R$22,Oeko!CE351,Oeko!ER351)</f>
        <v>1</v>
      </c>
      <c r="S351" s="1998">
        <f>IF(Construction!$F$31=Construction!$R$22,Oeko!CF351,Oeko!ES351)</f>
        <v>1.2000000000000002</v>
      </c>
      <c r="T351" s="1998">
        <f>IF(Construction!$F$31=Construction!$R$22,Oeko!CG351,Oeko!ET351)</f>
        <v>1.2000000000000002</v>
      </c>
      <c r="U351" s="1998">
        <f>IF(Construction!$F$31=Construction!$R$22,Oeko!CH351,Oeko!EU351)</f>
        <v>1.2000000000000002</v>
      </c>
      <c r="V351" s="1998">
        <f>IF(Construction!$F$31=Construction!$R$22,Oeko!CI351,Oeko!EV351)</f>
        <v>1.2000000000000002</v>
      </c>
      <c r="W351" s="1998">
        <f>IF(Construction!$F$31=Construction!$R$22,Oeko!CJ351,Oeko!EW351)</f>
        <v>1.2000000000000002</v>
      </c>
      <c r="X351" s="1979">
        <f>IF(Construction!$F$31=Construction!$R$22,Oeko!CK351,Oeko!EX351)</f>
        <v>0.96</v>
      </c>
      <c r="Y351" s="1979">
        <f>IF(Construction!$F$31=Construction!$R$22,Oeko!CL351,Oeko!EY351)</f>
        <v>0.96</v>
      </c>
      <c r="Z351" s="1979">
        <f>IF(Construction!$F$31=Construction!$R$22,Oeko!CM351,Oeko!EZ351)</f>
        <v>0.96</v>
      </c>
      <c r="AA351" s="1979">
        <f>IF(Construction!$F$31=Construction!$R$22,Oeko!CN351,Oeko!FA351)</f>
        <v>0.96</v>
      </c>
      <c r="AB351" s="1979">
        <f>IF(Construction!$F$31=Construction!$R$22,Oeko!CO351,Oeko!FB351)</f>
        <v>0.96</v>
      </c>
      <c r="AC351" s="1998">
        <f>IF(Construction!$F$31=Construction!$R$22,Oeko!CP351,Oeko!FC351)</f>
        <v>1.0000000000000002</v>
      </c>
      <c r="AD351" s="1998">
        <f>IF(Construction!$F$31=Construction!$R$22,Oeko!CQ351,Oeko!FD351)</f>
        <v>1.0000000000000002</v>
      </c>
      <c r="AE351" s="1998">
        <f>IF(Construction!$F$31=Construction!$R$22,Oeko!CR351,Oeko!FE351)</f>
        <v>1.0000000000000002</v>
      </c>
      <c r="AF351" s="1998">
        <f>IF(Construction!$F$31=Construction!$R$22,Oeko!CS351,Oeko!FF351)</f>
        <v>1.0000000000000002</v>
      </c>
      <c r="AG351" s="1998">
        <f>IF(Construction!$F$31=Construction!$R$22,Oeko!CT351,Oeko!FG351)</f>
        <v>1.0000000000000002</v>
      </c>
      <c r="AH351" s="1979">
        <f>IF(Construction!$F$31=Construction!$R$22,Oeko!CU351,Oeko!FH351)</f>
        <v>1.333333333333333</v>
      </c>
      <c r="AI351" s="1979">
        <f>IF(Construction!$F$31=Construction!$R$22,Oeko!CV351,Oeko!FI351)</f>
        <v>1.333333333333333</v>
      </c>
      <c r="AJ351" s="1979">
        <f>IF(Construction!$F$31=Construction!$R$22,Oeko!CW351,Oeko!FJ351)</f>
        <v>1.333333333333333</v>
      </c>
      <c r="AK351" s="1979">
        <f>IF(Construction!$F$31=Construction!$R$22,Oeko!CX351,Oeko!FK351)</f>
        <v>1.333333333333333</v>
      </c>
      <c r="AL351" s="1979">
        <f>IF(Construction!$F$31=Construction!$R$22,Oeko!CY351,Oeko!FL351)</f>
        <v>1.333333333333333</v>
      </c>
      <c r="AM351" s="1998">
        <f>IF(Construction!$F$31=Construction!$R$22,Oeko!CZ351,Oeko!FM351)</f>
        <v>1</v>
      </c>
      <c r="AN351" s="1998">
        <f>IF(Construction!$F$31=Construction!$R$22,Oeko!DA351,Oeko!FN351)</f>
        <v>1</v>
      </c>
      <c r="AO351" s="1998">
        <f>IF(Construction!$F$31=Construction!$R$22,Oeko!DB351,Oeko!FO351)</f>
        <v>1</v>
      </c>
      <c r="AP351" s="1998">
        <f>IF(Construction!$F$31=Construction!$R$22,Oeko!DC351,Oeko!FP351)</f>
        <v>1</v>
      </c>
      <c r="AQ351" s="1998">
        <f>IF(Construction!$F$31=Construction!$R$22,Oeko!DD351,Oeko!FQ351)</f>
        <v>1</v>
      </c>
      <c r="AR351" s="1979">
        <f>IF(Construction!$F$31=Construction!$R$22,Oeko!DE351,Oeko!FR351)</f>
        <v>10.73181302122873</v>
      </c>
      <c r="AS351" s="1979">
        <f>IF(Construction!$F$31=Construction!$R$22,Oeko!DF351,Oeko!FS351)</f>
        <v>10.73181302122873</v>
      </c>
      <c r="AT351" s="1979">
        <f>IF(Construction!$F$31=Construction!$R$22,Oeko!DG351,Oeko!FT351)</f>
        <v>10.73181302122873</v>
      </c>
      <c r="AU351" s="1979">
        <f>IF(Construction!$F$31=Construction!$R$22,Oeko!DH351,Oeko!FU351)</f>
        <v>10.73181302122873</v>
      </c>
      <c r="AV351" s="1979">
        <f>IF(Construction!$F$31=Construction!$R$22,Oeko!DI351,Oeko!FV351)</f>
        <v>10.73181302122873</v>
      </c>
      <c r="AW351" s="1998">
        <f>IF(Construction!$F$31=Construction!$R$22,Oeko!DJ351,Oeko!FW351)</f>
        <v>10.71054155578228</v>
      </c>
      <c r="AX351" s="1998">
        <f>IF(Construction!$F$31=Construction!$R$22,Oeko!DK351,Oeko!FX351)</f>
        <v>10.71054155578228</v>
      </c>
      <c r="AY351" s="1998">
        <f>IF(Construction!$F$31=Construction!$R$22,Oeko!DL351,Oeko!FY351)</f>
        <v>10.71054155578228</v>
      </c>
      <c r="AZ351" s="1998">
        <f>IF(Construction!$F$31=Construction!$R$22,Oeko!DM351,Oeko!FZ351)</f>
        <v>10.71054155578228</v>
      </c>
      <c r="BA351" s="1998">
        <f>IF(Construction!$F$31=Construction!$R$22,Oeko!DN351,Oeko!GA351)</f>
        <v>10.71054155578228</v>
      </c>
      <c r="BB351" s="1979">
        <f>IF(Construction!$F$31=Construction!$R$22,Oeko!DO351,Oeko!GB351)</f>
        <v>0.97975662301212196</v>
      </c>
      <c r="BC351" s="1979">
        <f>IF(Construction!$F$31=Construction!$R$22,Oeko!DP351,Oeko!GC351)</f>
        <v>0.97975662301212196</v>
      </c>
      <c r="BD351" s="1979">
        <f>IF(Construction!$F$31=Construction!$R$22,Oeko!DQ351,Oeko!GD351)</f>
        <v>0.97975662301212196</v>
      </c>
      <c r="BE351" s="1979">
        <f>IF(Construction!$F$31=Construction!$R$22,Oeko!DR351,Oeko!GE351)</f>
        <v>0.97975662301212196</v>
      </c>
      <c r="BF351" s="1979">
        <f>IF(Construction!$F$31=Construction!$R$22,Oeko!DS351,Oeko!GF351)</f>
        <v>0.97975662301212196</v>
      </c>
      <c r="BG351" s="1998">
        <f>IF(Construction!$F$31=Construction!$R$22,Oeko!DT351,Oeko!GG351)</f>
        <v>0.97614876347816082</v>
      </c>
      <c r="BH351" s="1998">
        <f>IF(Construction!$F$31=Construction!$R$22,Oeko!DU351,Oeko!GH351)</f>
        <v>0.97614876347816082</v>
      </c>
      <c r="BI351" s="1998">
        <f>IF(Construction!$F$31=Construction!$R$22,Oeko!DV351,Oeko!GI351)</f>
        <v>0.97614876347816082</v>
      </c>
      <c r="BJ351" s="1998">
        <f>IF(Construction!$F$31=Construction!$R$22,Oeko!DW351,Oeko!GJ351)</f>
        <v>0.97614876347816082</v>
      </c>
      <c r="BK351" s="2026">
        <f>IF(Construction!$F$31=Construction!$R$22,Oeko!DX351,Oeko!GK351)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IF(Construction!$F$31=Construction!$R$22,Oeko!BQ352,Oeko!ED352)</f>
        <v>1</v>
      </c>
      <c r="E352" s="1979">
        <f>IF(Construction!$F$31=Construction!$R$22,Oeko!BR352,Oeko!EE352)</f>
        <v>1</v>
      </c>
      <c r="F352" s="1979">
        <f>IF(Construction!$F$31=Construction!$R$22,Oeko!BS352,Oeko!EF352)</f>
        <v>1</v>
      </c>
      <c r="G352" s="1979">
        <f>IF(Construction!$F$31=Construction!$R$22,Oeko!BT352,Oeko!EG352)</f>
        <v>1</v>
      </c>
      <c r="H352" s="1979">
        <f>IF(Construction!$F$31=Construction!$R$22,Oeko!BU352,Oeko!EH352)</f>
        <v>1</v>
      </c>
      <c r="I352" s="1998">
        <f>IF(Construction!$F$31=Construction!$R$22,Oeko!BV352,Oeko!EI352)</f>
        <v>1.3333333333333333</v>
      </c>
      <c r="J352" s="1998">
        <f>IF(Construction!$F$31=Construction!$R$22,Oeko!BW352,Oeko!EJ352)</f>
        <v>1.3333333333333333</v>
      </c>
      <c r="K352" s="1998">
        <f>IF(Construction!$F$31=Construction!$R$22,Oeko!BX352,Oeko!EK352)</f>
        <v>1.3333333333333333</v>
      </c>
      <c r="L352" s="1998">
        <f>IF(Construction!$F$31=Construction!$R$22,Oeko!BY352,Oeko!EL352)</f>
        <v>1.3333333333333333</v>
      </c>
      <c r="M352" s="1998">
        <f>IF(Construction!$F$31=Construction!$R$22,Oeko!BZ352,Oeko!EM352)</f>
        <v>1.3333333333333333</v>
      </c>
      <c r="N352" s="1979">
        <f>IF(Construction!$F$31=Construction!$R$22,Oeko!CA352,Oeko!EN352)</f>
        <v>0.95238095238095233</v>
      </c>
      <c r="O352" s="1979">
        <f>IF(Construction!$F$31=Construction!$R$22,Oeko!CB352,Oeko!EO352)</f>
        <v>0.95238095238095233</v>
      </c>
      <c r="P352" s="1979">
        <f>IF(Construction!$F$31=Construction!$R$22,Oeko!CC352,Oeko!EP352)</f>
        <v>0.95238095238095233</v>
      </c>
      <c r="Q352" s="1979">
        <f>IF(Construction!$F$31=Construction!$R$22,Oeko!CD352,Oeko!EQ352)</f>
        <v>0.95238095238095233</v>
      </c>
      <c r="R352" s="1979">
        <f>IF(Construction!$F$31=Construction!$R$22,Oeko!CE352,Oeko!ER352)</f>
        <v>0.95238095238095233</v>
      </c>
      <c r="S352" s="1998">
        <f>IF(Construction!$F$31=Construction!$R$22,Oeko!CF352,Oeko!ES352)</f>
        <v>1.125</v>
      </c>
      <c r="T352" s="1998">
        <f>IF(Construction!$F$31=Construction!$R$22,Oeko!CG352,Oeko!ET352)</f>
        <v>1.125</v>
      </c>
      <c r="U352" s="1998">
        <f>IF(Construction!$F$31=Construction!$R$22,Oeko!CH352,Oeko!EU352)</f>
        <v>1.125</v>
      </c>
      <c r="V352" s="1998">
        <f>IF(Construction!$F$31=Construction!$R$22,Oeko!CI352,Oeko!EV352)</f>
        <v>1.125</v>
      </c>
      <c r="W352" s="1998">
        <f>IF(Construction!$F$31=Construction!$R$22,Oeko!CJ352,Oeko!EW352)</f>
        <v>1.125</v>
      </c>
      <c r="X352" s="1979">
        <f>IF(Construction!$F$31=Construction!$R$22,Oeko!CK352,Oeko!EX352)</f>
        <v>0.9</v>
      </c>
      <c r="Y352" s="1979">
        <f>IF(Construction!$F$31=Construction!$R$22,Oeko!CL352,Oeko!EY352)</f>
        <v>0.9</v>
      </c>
      <c r="Z352" s="1979">
        <f>IF(Construction!$F$31=Construction!$R$22,Oeko!CM352,Oeko!EZ352)</f>
        <v>0.9</v>
      </c>
      <c r="AA352" s="1979">
        <f>IF(Construction!$F$31=Construction!$R$22,Oeko!CN352,Oeko!FA352)</f>
        <v>0.9</v>
      </c>
      <c r="AB352" s="1979">
        <f>IF(Construction!$F$31=Construction!$R$22,Oeko!CO352,Oeko!FB352)</f>
        <v>0.9</v>
      </c>
      <c r="AC352" s="1998">
        <f>IF(Construction!$F$31=Construction!$R$22,Oeko!CP352,Oeko!FC352)</f>
        <v>1.0000000000000002</v>
      </c>
      <c r="AD352" s="1998">
        <f>IF(Construction!$F$31=Construction!$R$22,Oeko!CQ352,Oeko!FD352)</f>
        <v>1.0000000000000002</v>
      </c>
      <c r="AE352" s="1998">
        <f>IF(Construction!$F$31=Construction!$R$22,Oeko!CR352,Oeko!FE352)</f>
        <v>1.0000000000000002</v>
      </c>
      <c r="AF352" s="1998">
        <f>IF(Construction!$F$31=Construction!$R$22,Oeko!CS352,Oeko!FF352)</f>
        <v>1.0000000000000002</v>
      </c>
      <c r="AG352" s="1998">
        <f>IF(Construction!$F$31=Construction!$R$22,Oeko!CT352,Oeko!FG352)</f>
        <v>1.0000000000000002</v>
      </c>
      <c r="AH352" s="1979">
        <f>IF(Construction!$F$31=Construction!$R$22,Oeko!CU352,Oeko!FH352)</f>
        <v>1.333333333333333</v>
      </c>
      <c r="AI352" s="1979">
        <f>IF(Construction!$F$31=Construction!$R$22,Oeko!CV352,Oeko!FI352)</f>
        <v>1.333333333333333</v>
      </c>
      <c r="AJ352" s="1979">
        <f>IF(Construction!$F$31=Construction!$R$22,Oeko!CW352,Oeko!FJ352)</f>
        <v>1.333333333333333</v>
      </c>
      <c r="AK352" s="1979">
        <f>IF(Construction!$F$31=Construction!$R$22,Oeko!CX352,Oeko!FK352)</f>
        <v>1.333333333333333</v>
      </c>
      <c r="AL352" s="1979">
        <f>IF(Construction!$F$31=Construction!$R$22,Oeko!CY352,Oeko!FL352)</f>
        <v>1.333333333333333</v>
      </c>
      <c r="AM352" s="1998">
        <f>IF(Construction!$F$31=Construction!$R$22,Oeko!CZ352,Oeko!FM352)</f>
        <v>0.99999999999999989</v>
      </c>
      <c r="AN352" s="1998">
        <f>IF(Construction!$F$31=Construction!$R$22,Oeko!DA352,Oeko!FN352)</f>
        <v>0.99999999999999989</v>
      </c>
      <c r="AO352" s="1998">
        <f>IF(Construction!$F$31=Construction!$R$22,Oeko!DB352,Oeko!FO352)</f>
        <v>0.99999999999999989</v>
      </c>
      <c r="AP352" s="1998">
        <f>IF(Construction!$F$31=Construction!$R$22,Oeko!DC352,Oeko!FP352)</f>
        <v>0.99999999999999989</v>
      </c>
      <c r="AQ352" s="1998">
        <f>IF(Construction!$F$31=Construction!$R$22,Oeko!DD352,Oeko!FQ352)</f>
        <v>0.99999999999999989</v>
      </c>
      <c r="AR352" s="1979">
        <f>IF(Construction!$F$31=Construction!$R$22,Oeko!DE352,Oeko!FR352)</f>
        <v>10.73181302122873</v>
      </c>
      <c r="AS352" s="1979">
        <f>IF(Construction!$F$31=Construction!$R$22,Oeko!DF352,Oeko!FS352)</f>
        <v>10.73181302122873</v>
      </c>
      <c r="AT352" s="1979">
        <f>IF(Construction!$F$31=Construction!$R$22,Oeko!DG352,Oeko!FT352)</f>
        <v>10.73181302122873</v>
      </c>
      <c r="AU352" s="1979">
        <f>IF(Construction!$F$31=Construction!$R$22,Oeko!DH352,Oeko!FU352)</f>
        <v>10.73181302122873</v>
      </c>
      <c r="AV352" s="1979">
        <f>IF(Construction!$F$31=Construction!$R$22,Oeko!DI352,Oeko!FV352)</f>
        <v>10.73181302122873</v>
      </c>
      <c r="AW352" s="1998">
        <f>IF(Construction!$F$31=Construction!$R$22,Oeko!DJ352,Oeko!FW352)</f>
        <v>8.0329061668367086</v>
      </c>
      <c r="AX352" s="1998">
        <f>IF(Construction!$F$31=Construction!$R$22,Oeko!DK352,Oeko!FX352)</f>
        <v>8.0329061668367086</v>
      </c>
      <c r="AY352" s="1998">
        <f>IF(Construction!$F$31=Construction!$R$22,Oeko!DL352,Oeko!FY352)</f>
        <v>8.0329061668367086</v>
      </c>
      <c r="AZ352" s="1998">
        <f>IF(Construction!$F$31=Construction!$R$22,Oeko!DM352,Oeko!FZ352)</f>
        <v>8.0329061668367086</v>
      </c>
      <c r="BA352" s="1998">
        <f>IF(Construction!$F$31=Construction!$R$22,Oeko!DN352,Oeko!GA352)</f>
        <v>8.0329061668367086</v>
      </c>
      <c r="BB352" s="1979">
        <f>IF(Construction!$F$31=Construction!$R$22,Oeko!DO352,Oeko!GB352)</f>
        <v>0.97975662301212196</v>
      </c>
      <c r="BC352" s="1979">
        <f>IF(Construction!$F$31=Construction!$R$22,Oeko!DP352,Oeko!GC352)</f>
        <v>0.97975662301212196</v>
      </c>
      <c r="BD352" s="1979">
        <f>IF(Construction!$F$31=Construction!$R$22,Oeko!DQ352,Oeko!GD352)</f>
        <v>0.97975662301212196</v>
      </c>
      <c r="BE352" s="1979">
        <f>IF(Construction!$F$31=Construction!$R$22,Oeko!DR352,Oeko!GE352)</f>
        <v>0.97975662301212196</v>
      </c>
      <c r="BF352" s="1979">
        <f>IF(Construction!$F$31=Construction!$R$22,Oeko!DS352,Oeko!GF352)</f>
        <v>0.97975662301212196</v>
      </c>
      <c r="BG352" s="1998">
        <f>IF(Construction!$F$31=Construction!$R$22,Oeko!DT352,Oeko!GG352)</f>
        <v>0.9761487634781606</v>
      </c>
      <c r="BH352" s="1998">
        <f>IF(Construction!$F$31=Construction!$R$22,Oeko!DU352,Oeko!GH352)</f>
        <v>0.9761487634781606</v>
      </c>
      <c r="BI352" s="1998">
        <f>IF(Construction!$F$31=Construction!$R$22,Oeko!DV352,Oeko!GI352)</f>
        <v>0.9761487634781606</v>
      </c>
      <c r="BJ352" s="1998">
        <f>IF(Construction!$F$31=Construction!$R$22,Oeko!DW352,Oeko!GJ352)</f>
        <v>0.9761487634781606</v>
      </c>
      <c r="BK352" s="2026">
        <f>IF(Construction!$F$31=Construction!$R$22,Oeko!DX352,Oeko!GK352)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IF(Construction!$F$31=Construction!$R$22,Oeko!BQ353,Oeko!ED353)</f>
        <v>0.99999999999999989</v>
      </c>
      <c r="E353" s="1979">
        <f>IF(Construction!$F$31=Construction!$R$22,Oeko!BR353,Oeko!EE353)</f>
        <v>0.99999999999999989</v>
      </c>
      <c r="F353" s="1979">
        <f>IF(Construction!$F$31=Construction!$R$22,Oeko!BS353,Oeko!EF353)</f>
        <v>0.99999999999999989</v>
      </c>
      <c r="G353" s="1979">
        <f>IF(Construction!$F$31=Construction!$R$22,Oeko!BT353,Oeko!EG353)</f>
        <v>0.99999999999999989</v>
      </c>
      <c r="H353" s="1979">
        <f>IF(Construction!$F$31=Construction!$R$22,Oeko!BU353,Oeko!EH353)</f>
        <v>0.99999999999999989</v>
      </c>
      <c r="I353" s="1998">
        <f>IF(Construction!$F$31=Construction!$R$22,Oeko!BV353,Oeko!EI353)</f>
        <v>1.3333333333333333</v>
      </c>
      <c r="J353" s="1998">
        <f>IF(Construction!$F$31=Construction!$R$22,Oeko!BW353,Oeko!EJ353)</f>
        <v>1.3333333333333333</v>
      </c>
      <c r="K353" s="1998">
        <f>IF(Construction!$F$31=Construction!$R$22,Oeko!BX353,Oeko!EK353)</f>
        <v>1.3333333333333333</v>
      </c>
      <c r="L353" s="1998">
        <f>IF(Construction!$F$31=Construction!$R$22,Oeko!BY353,Oeko!EL353)</f>
        <v>1.3333333333333333</v>
      </c>
      <c r="M353" s="1998">
        <f>IF(Construction!$F$31=Construction!$R$22,Oeko!BZ353,Oeko!EM353)</f>
        <v>1.3333333333333333</v>
      </c>
      <c r="N353" s="1979">
        <f>IF(Construction!$F$31=Construction!$R$22,Oeko!CA353,Oeko!EN353)</f>
        <v>0.91428571428571437</v>
      </c>
      <c r="O353" s="1979">
        <f>IF(Construction!$F$31=Construction!$R$22,Oeko!CB353,Oeko!EO353)</f>
        <v>0.91428571428571437</v>
      </c>
      <c r="P353" s="1979">
        <f>IF(Construction!$F$31=Construction!$R$22,Oeko!CC353,Oeko!EP353)</f>
        <v>0.91428571428571437</v>
      </c>
      <c r="Q353" s="1979">
        <f>IF(Construction!$F$31=Construction!$R$22,Oeko!CD353,Oeko!EQ353)</f>
        <v>0.91428571428571437</v>
      </c>
      <c r="R353" s="1979">
        <f>IF(Construction!$F$31=Construction!$R$22,Oeko!CE353,Oeko!ER353)</f>
        <v>0.91428571428571437</v>
      </c>
      <c r="S353" s="1998">
        <f>IF(Construction!$F$31=Construction!$R$22,Oeko!CF353,Oeko!ES353)</f>
        <v>1.1250000000000002</v>
      </c>
      <c r="T353" s="1998">
        <f>IF(Construction!$F$31=Construction!$R$22,Oeko!CG353,Oeko!ET353)</f>
        <v>1.1250000000000002</v>
      </c>
      <c r="U353" s="1998">
        <f>IF(Construction!$F$31=Construction!$R$22,Oeko!CH353,Oeko!EU353)</f>
        <v>1.1250000000000002</v>
      </c>
      <c r="V353" s="1998">
        <f>IF(Construction!$F$31=Construction!$R$22,Oeko!CI353,Oeko!EV353)</f>
        <v>1.1250000000000002</v>
      </c>
      <c r="W353" s="1998">
        <f>IF(Construction!$F$31=Construction!$R$22,Oeko!CJ353,Oeko!EW353)</f>
        <v>1.1250000000000002</v>
      </c>
      <c r="X353" s="1979">
        <f>IF(Construction!$F$31=Construction!$R$22,Oeko!CK353,Oeko!EX353)</f>
        <v>0.89999999999999991</v>
      </c>
      <c r="Y353" s="1979">
        <f>IF(Construction!$F$31=Construction!$R$22,Oeko!CL353,Oeko!EY353)</f>
        <v>0.89999999999999991</v>
      </c>
      <c r="Z353" s="1979">
        <f>IF(Construction!$F$31=Construction!$R$22,Oeko!CM353,Oeko!EZ353)</f>
        <v>0.89999999999999991</v>
      </c>
      <c r="AA353" s="1979">
        <f>IF(Construction!$F$31=Construction!$R$22,Oeko!CN353,Oeko!FA353)</f>
        <v>0.89999999999999991</v>
      </c>
      <c r="AB353" s="1979">
        <f>IF(Construction!$F$31=Construction!$R$22,Oeko!CO353,Oeko!FB353)</f>
        <v>0.89999999999999991</v>
      </c>
      <c r="AC353" s="1998">
        <f>IF(Construction!$F$31=Construction!$R$22,Oeko!CP353,Oeko!FC353)</f>
        <v>1.0000000000000002</v>
      </c>
      <c r="AD353" s="1998">
        <f>IF(Construction!$F$31=Construction!$R$22,Oeko!CQ353,Oeko!FD353)</f>
        <v>1.0000000000000002</v>
      </c>
      <c r="AE353" s="1998">
        <f>IF(Construction!$F$31=Construction!$R$22,Oeko!CR353,Oeko!FE353)</f>
        <v>1.0000000000000002</v>
      </c>
      <c r="AF353" s="1998">
        <f>IF(Construction!$F$31=Construction!$R$22,Oeko!CS353,Oeko!FF353)</f>
        <v>1.0000000000000002</v>
      </c>
      <c r="AG353" s="1998">
        <f>IF(Construction!$F$31=Construction!$R$22,Oeko!CT353,Oeko!FG353)</f>
        <v>1.0000000000000002</v>
      </c>
      <c r="AH353" s="1979">
        <f>IF(Construction!$F$31=Construction!$R$22,Oeko!CU353,Oeko!FH353)</f>
        <v>1.333333333333333</v>
      </c>
      <c r="AI353" s="1979">
        <f>IF(Construction!$F$31=Construction!$R$22,Oeko!CV353,Oeko!FI353)</f>
        <v>1.333333333333333</v>
      </c>
      <c r="AJ353" s="1979">
        <f>IF(Construction!$F$31=Construction!$R$22,Oeko!CW353,Oeko!FJ353)</f>
        <v>1.333333333333333</v>
      </c>
      <c r="AK353" s="1979">
        <f>IF(Construction!$F$31=Construction!$R$22,Oeko!CX353,Oeko!FK353)</f>
        <v>1.333333333333333</v>
      </c>
      <c r="AL353" s="1979">
        <f>IF(Construction!$F$31=Construction!$R$22,Oeko!CY353,Oeko!FL353)</f>
        <v>1.333333333333333</v>
      </c>
      <c r="AM353" s="1998">
        <f>IF(Construction!$F$31=Construction!$R$22,Oeko!CZ353,Oeko!FM353)</f>
        <v>1</v>
      </c>
      <c r="AN353" s="1998">
        <f>IF(Construction!$F$31=Construction!$R$22,Oeko!DA353,Oeko!FN353)</f>
        <v>1</v>
      </c>
      <c r="AO353" s="1998">
        <f>IF(Construction!$F$31=Construction!$R$22,Oeko!DB353,Oeko!FO353)</f>
        <v>1</v>
      </c>
      <c r="AP353" s="1998">
        <f>IF(Construction!$F$31=Construction!$R$22,Oeko!DC353,Oeko!FP353)</f>
        <v>1</v>
      </c>
      <c r="AQ353" s="1998">
        <f>IF(Construction!$F$31=Construction!$R$22,Oeko!DD353,Oeko!FQ353)</f>
        <v>1</v>
      </c>
      <c r="AR353" s="1979">
        <f>IF(Construction!$F$31=Construction!$R$22,Oeko!DE353,Oeko!FR353)</f>
        <v>8.0488597659215451</v>
      </c>
      <c r="AS353" s="1979">
        <f>IF(Construction!$F$31=Construction!$R$22,Oeko!DF353,Oeko!FS353)</f>
        <v>8.0488597659215451</v>
      </c>
      <c r="AT353" s="1979">
        <f>IF(Construction!$F$31=Construction!$R$22,Oeko!DG353,Oeko!FT353)</f>
        <v>8.0488597659215451</v>
      </c>
      <c r="AU353" s="1979">
        <f>IF(Construction!$F$31=Construction!$R$22,Oeko!DH353,Oeko!FU353)</f>
        <v>8.0488597659215451</v>
      </c>
      <c r="AV353" s="1979">
        <f>IF(Construction!$F$31=Construction!$R$22,Oeko!DI353,Oeko!FV353)</f>
        <v>8.0488597659215451</v>
      </c>
      <c r="AW353" s="1998">
        <f>IF(Construction!$F$31=Construction!$R$22,Oeko!DJ353,Oeko!FW353)</f>
        <v>8.0329061668367086</v>
      </c>
      <c r="AX353" s="1998">
        <f>IF(Construction!$F$31=Construction!$R$22,Oeko!DK353,Oeko!FX353)</f>
        <v>8.0329061668367086</v>
      </c>
      <c r="AY353" s="1998">
        <f>IF(Construction!$F$31=Construction!$R$22,Oeko!DL353,Oeko!FY353)</f>
        <v>8.0329061668367086</v>
      </c>
      <c r="AZ353" s="1998">
        <f>IF(Construction!$F$31=Construction!$R$22,Oeko!DM353,Oeko!FZ353)</f>
        <v>8.0329061668367086</v>
      </c>
      <c r="BA353" s="1998">
        <f>IF(Construction!$F$31=Construction!$R$22,Oeko!DN353,Oeko!GA353)</f>
        <v>8.0329061668367086</v>
      </c>
      <c r="BB353" s="1979">
        <f>IF(Construction!$F$31=Construction!$R$22,Oeko!DO353,Oeko!GB353)</f>
        <v>0.97975662301212196</v>
      </c>
      <c r="BC353" s="1979">
        <f>IF(Construction!$F$31=Construction!$R$22,Oeko!DP353,Oeko!GC353)</f>
        <v>0.97975662301212196</v>
      </c>
      <c r="BD353" s="1979">
        <f>IF(Construction!$F$31=Construction!$R$22,Oeko!DQ353,Oeko!GD353)</f>
        <v>0.97975662301212196</v>
      </c>
      <c r="BE353" s="1979">
        <f>IF(Construction!$F$31=Construction!$R$22,Oeko!DR353,Oeko!GE353)</f>
        <v>0.97975662301212196</v>
      </c>
      <c r="BF353" s="1979">
        <f>IF(Construction!$F$31=Construction!$R$22,Oeko!DS353,Oeko!GF353)</f>
        <v>0.97975662301212196</v>
      </c>
      <c r="BG353" s="1998">
        <f>IF(Construction!$F$31=Construction!$R$22,Oeko!DT353,Oeko!GG353)</f>
        <v>0.97614876347816082</v>
      </c>
      <c r="BH353" s="1998">
        <f>IF(Construction!$F$31=Construction!$R$22,Oeko!DU353,Oeko!GH353)</f>
        <v>0.97614876347816082</v>
      </c>
      <c r="BI353" s="1998">
        <f>IF(Construction!$F$31=Construction!$R$22,Oeko!DV353,Oeko!GI353)</f>
        <v>0.97614876347816082</v>
      </c>
      <c r="BJ353" s="1998">
        <f>IF(Construction!$F$31=Construction!$R$22,Oeko!DW353,Oeko!GJ353)</f>
        <v>0.97614876347816082</v>
      </c>
      <c r="BK353" s="2026">
        <f>IF(Construction!$F$31=Construction!$R$22,Oeko!DX353,Oeko!GK353)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IF(Construction!$F$31=Construction!$R$22,Oeko!BQ354,Oeko!ED354)</f>
        <v>0.99999999999999989</v>
      </c>
      <c r="E354" s="1979">
        <f>IF(Construction!$F$31=Construction!$R$22,Oeko!BR354,Oeko!EE354)</f>
        <v>0.99999999999999989</v>
      </c>
      <c r="F354" s="1979">
        <f>IF(Construction!$F$31=Construction!$R$22,Oeko!BS354,Oeko!EF354)</f>
        <v>0.99999999999999989</v>
      </c>
      <c r="G354" s="1979">
        <f>IF(Construction!$F$31=Construction!$R$22,Oeko!BT354,Oeko!EG354)</f>
        <v>0.99999999999999989</v>
      </c>
      <c r="H354" s="1979">
        <f>IF(Construction!$F$31=Construction!$R$22,Oeko!BU354,Oeko!EH354)</f>
        <v>0.99999999999999989</v>
      </c>
      <c r="I354" s="1998">
        <f>IF(Construction!$F$31=Construction!$R$22,Oeko!BV354,Oeko!EI354)</f>
        <v>1.333333333333333</v>
      </c>
      <c r="J354" s="1998">
        <f>IF(Construction!$F$31=Construction!$R$22,Oeko!BW354,Oeko!EJ354)</f>
        <v>1.333333333333333</v>
      </c>
      <c r="K354" s="1998">
        <f>IF(Construction!$F$31=Construction!$R$22,Oeko!BX354,Oeko!EK354)</f>
        <v>1.333333333333333</v>
      </c>
      <c r="L354" s="1998">
        <f>IF(Construction!$F$31=Construction!$R$22,Oeko!BY354,Oeko!EL354)</f>
        <v>1.333333333333333</v>
      </c>
      <c r="M354" s="1998">
        <f>IF(Construction!$F$31=Construction!$R$22,Oeko!BZ354,Oeko!EM354)</f>
        <v>1.333333333333333</v>
      </c>
      <c r="N354" s="1979">
        <f>IF(Construction!$F$31=Construction!$R$22,Oeko!CA354,Oeko!EN354)</f>
        <v>0.85714285714285721</v>
      </c>
      <c r="O354" s="1979">
        <f>IF(Construction!$F$31=Construction!$R$22,Oeko!CB354,Oeko!EO354)</f>
        <v>0.85714285714285721</v>
      </c>
      <c r="P354" s="1979">
        <f>IF(Construction!$F$31=Construction!$R$22,Oeko!CC354,Oeko!EP354)</f>
        <v>0.85714285714285721</v>
      </c>
      <c r="Q354" s="1979">
        <f>IF(Construction!$F$31=Construction!$R$22,Oeko!CD354,Oeko!EQ354)</f>
        <v>0.85714285714285721</v>
      </c>
      <c r="R354" s="1979">
        <f>IF(Construction!$F$31=Construction!$R$22,Oeko!CE354,Oeko!ER354)</f>
        <v>0.85714285714285721</v>
      </c>
      <c r="S354" s="1998">
        <f>IF(Construction!$F$31=Construction!$R$22,Oeko!CF354,Oeko!ES354)</f>
        <v>1.125</v>
      </c>
      <c r="T354" s="1998">
        <f>IF(Construction!$F$31=Construction!$R$22,Oeko!CG354,Oeko!ET354)</f>
        <v>1.125</v>
      </c>
      <c r="U354" s="1998">
        <f>IF(Construction!$F$31=Construction!$R$22,Oeko!CH354,Oeko!EU354)</f>
        <v>1.125</v>
      </c>
      <c r="V354" s="1998">
        <f>IF(Construction!$F$31=Construction!$R$22,Oeko!CI354,Oeko!EV354)</f>
        <v>1.125</v>
      </c>
      <c r="W354" s="1998">
        <f>IF(Construction!$F$31=Construction!$R$22,Oeko!CJ354,Oeko!EW354)</f>
        <v>1.125</v>
      </c>
      <c r="X354" s="1979">
        <f>IF(Construction!$F$31=Construction!$R$22,Oeko!CK354,Oeko!EX354)</f>
        <v>0.9</v>
      </c>
      <c r="Y354" s="1979">
        <f>IF(Construction!$F$31=Construction!$R$22,Oeko!CL354,Oeko!EY354)</f>
        <v>0.9</v>
      </c>
      <c r="Z354" s="1979">
        <f>IF(Construction!$F$31=Construction!$R$22,Oeko!CM354,Oeko!EZ354)</f>
        <v>0.9</v>
      </c>
      <c r="AA354" s="1979">
        <f>IF(Construction!$F$31=Construction!$R$22,Oeko!CN354,Oeko!FA354)</f>
        <v>0.9</v>
      </c>
      <c r="AB354" s="1979">
        <f>IF(Construction!$F$31=Construction!$R$22,Oeko!CO354,Oeko!FB354)</f>
        <v>0.9</v>
      </c>
      <c r="AC354" s="1998">
        <f>IF(Construction!$F$31=Construction!$R$22,Oeko!CP354,Oeko!FC354)</f>
        <v>1</v>
      </c>
      <c r="AD354" s="1998">
        <f>IF(Construction!$F$31=Construction!$R$22,Oeko!CQ354,Oeko!FD354)</f>
        <v>1</v>
      </c>
      <c r="AE354" s="1998">
        <f>IF(Construction!$F$31=Construction!$R$22,Oeko!CR354,Oeko!FE354)</f>
        <v>1</v>
      </c>
      <c r="AF354" s="1998">
        <f>IF(Construction!$F$31=Construction!$R$22,Oeko!CS354,Oeko!FF354)</f>
        <v>1</v>
      </c>
      <c r="AG354" s="1998">
        <f>IF(Construction!$F$31=Construction!$R$22,Oeko!CT354,Oeko!FG354)</f>
        <v>1</v>
      </c>
      <c r="AH354" s="1979">
        <f>IF(Construction!$F$31=Construction!$R$22,Oeko!CU354,Oeko!FH354)</f>
        <v>1.333333333333333</v>
      </c>
      <c r="AI354" s="1979">
        <f>IF(Construction!$F$31=Construction!$R$22,Oeko!CV354,Oeko!FI354)</f>
        <v>1.333333333333333</v>
      </c>
      <c r="AJ354" s="1979">
        <f>IF(Construction!$F$31=Construction!$R$22,Oeko!CW354,Oeko!FJ354)</f>
        <v>1.333333333333333</v>
      </c>
      <c r="AK354" s="1979">
        <f>IF(Construction!$F$31=Construction!$R$22,Oeko!CX354,Oeko!FK354)</f>
        <v>1.333333333333333</v>
      </c>
      <c r="AL354" s="1979">
        <f>IF(Construction!$F$31=Construction!$R$22,Oeko!CY354,Oeko!FL354)</f>
        <v>1.333333333333333</v>
      </c>
      <c r="AM354" s="1998">
        <f>IF(Construction!$F$31=Construction!$R$22,Oeko!CZ354,Oeko!FM354)</f>
        <v>1</v>
      </c>
      <c r="AN354" s="1998">
        <f>IF(Construction!$F$31=Construction!$R$22,Oeko!DA354,Oeko!FN354)</f>
        <v>1</v>
      </c>
      <c r="AO354" s="1998">
        <f>IF(Construction!$F$31=Construction!$R$22,Oeko!DB354,Oeko!FO354)</f>
        <v>1</v>
      </c>
      <c r="AP354" s="1998">
        <f>IF(Construction!$F$31=Construction!$R$22,Oeko!DC354,Oeko!FP354)</f>
        <v>1</v>
      </c>
      <c r="AQ354" s="1998">
        <f>IF(Construction!$F$31=Construction!$R$22,Oeko!DD354,Oeko!FQ354)</f>
        <v>1</v>
      </c>
      <c r="AR354" s="1979">
        <f>IF(Construction!$F$31=Construction!$R$22,Oeko!DE354,Oeko!FR354)</f>
        <v>8.0488597659215468</v>
      </c>
      <c r="AS354" s="1979">
        <f>IF(Construction!$F$31=Construction!$R$22,Oeko!DF354,Oeko!FS354)</f>
        <v>8.0488597659215468</v>
      </c>
      <c r="AT354" s="1979">
        <f>IF(Construction!$F$31=Construction!$R$22,Oeko!DG354,Oeko!FT354)</f>
        <v>8.0488597659215468</v>
      </c>
      <c r="AU354" s="1979">
        <f>IF(Construction!$F$31=Construction!$R$22,Oeko!DH354,Oeko!FU354)</f>
        <v>8.0488597659215468</v>
      </c>
      <c r="AV354" s="1979">
        <f>IF(Construction!$F$31=Construction!$R$22,Oeko!DI354,Oeko!FV354)</f>
        <v>8.0488597659215468</v>
      </c>
      <c r="AW354" s="1998">
        <f>IF(Construction!$F$31=Construction!$R$22,Oeko!DJ354,Oeko!FW354)</f>
        <v>8.0329061668367086</v>
      </c>
      <c r="AX354" s="1998">
        <f>IF(Construction!$F$31=Construction!$R$22,Oeko!DK354,Oeko!FX354)</f>
        <v>8.0329061668367086</v>
      </c>
      <c r="AY354" s="1998">
        <f>IF(Construction!$F$31=Construction!$R$22,Oeko!DL354,Oeko!FY354)</f>
        <v>8.0329061668367086</v>
      </c>
      <c r="AZ354" s="1998">
        <f>IF(Construction!$F$31=Construction!$R$22,Oeko!DM354,Oeko!FZ354)</f>
        <v>8.0329061668367086</v>
      </c>
      <c r="BA354" s="1998">
        <f>IF(Construction!$F$31=Construction!$R$22,Oeko!DN354,Oeko!GA354)</f>
        <v>8.0329061668367086</v>
      </c>
      <c r="BB354" s="1979">
        <f>IF(Construction!$F$31=Construction!$R$22,Oeko!DO354,Oeko!GB354)</f>
        <v>0.97975662301212196</v>
      </c>
      <c r="BC354" s="1979">
        <f>IF(Construction!$F$31=Construction!$R$22,Oeko!DP354,Oeko!GC354)</f>
        <v>0.97975662301212196</v>
      </c>
      <c r="BD354" s="1979">
        <f>IF(Construction!$F$31=Construction!$R$22,Oeko!DQ354,Oeko!GD354)</f>
        <v>0.97975662301212196</v>
      </c>
      <c r="BE354" s="1979">
        <f>IF(Construction!$F$31=Construction!$R$22,Oeko!DR354,Oeko!GE354)</f>
        <v>0.97975662301212196</v>
      </c>
      <c r="BF354" s="1979">
        <f>IF(Construction!$F$31=Construction!$R$22,Oeko!DS354,Oeko!GF354)</f>
        <v>0.97975662301212196</v>
      </c>
      <c r="BG354" s="1998">
        <f>IF(Construction!$F$31=Construction!$R$22,Oeko!DT354,Oeko!GG354)</f>
        <v>0.97614876347816082</v>
      </c>
      <c r="BH354" s="1998">
        <f>IF(Construction!$F$31=Construction!$R$22,Oeko!DU354,Oeko!GH354)</f>
        <v>0.97614876347816082</v>
      </c>
      <c r="BI354" s="1998">
        <f>IF(Construction!$F$31=Construction!$R$22,Oeko!DV354,Oeko!GI354)</f>
        <v>0.97614876347816082</v>
      </c>
      <c r="BJ354" s="1998">
        <f>IF(Construction!$F$31=Construction!$R$22,Oeko!DW354,Oeko!GJ354)</f>
        <v>0.97614876347816082</v>
      </c>
      <c r="BK354" s="2026">
        <f>IF(Construction!$F$31=Construction!$R$22,Oeko!DX354,Oeko!GK354)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IF(Construction!$F$31=Construction!$R$22,Oeko!BQ355,Oeko!ED355)</f>
        <v>0.99999999999999989</v>
      </c>
      <c r="E355" s="1979">
        <f>IF(Construction!$F$31=Construction!$R$22,Oeko!BR355,Oeko!EE355)</f>
        <v>0.99999999999999989</v>
      </c>
      <c r="F355" s="1979">
        <f>IF(Construction!$F$31=Construction!$R$22,Oeko!BS355,Oeko!EF355)</f>
        <v>0.99999999999999989</v>
      </c>
      <c r="G355" s="1979">
        <f>IF(Construction!$F$31=Construction!$R$22,Oeko!BT355,Oeko!EG355)</f>
        <v>0.99999999999999989</v>
      </c>
      <c r="H355" s="1979">
        <f>IF(Construction!$F$31=Construction!$R$22,Oeko!BU355,Oeko!EH355)</f>
        <v>0.99999999999999989</v>
      </c>
      <c r="I355" s="1998">
        <f>IF(Construction!$F$31=Construction!$R$22,Oeko!BV355,Oeko!EI355)</f>
        <v>1</v>
      </c>
      <c r="J355" s="1998">
        <f>IF(Construction!$F$31=Construction!$R$22,Oeko!BW355,Oeko!EJ355)</f>
        <v>1</v>
      </c>
      <c r="K355" s="1998">
        <f>IF(Construction!$F$31=Construction!$R$22,Oeko!BX355,Oeko!EK355)</f>
        <v>1</v>
      </c>
      <c r="L355" s="1998">
        <f>IF(Construction!$F$31=Construction!$R$22,Oeko!BY355,Oeko!EL355)</f>
        <v>1</v>
      </c>
      <c r="M355" s="1998">
        <f>IF(Construction!$F$31=Construction!$R$22,Oeko!BZ355,Oeko!EM355)</f>
        <v>1</v>
      </c>
      <c r="N355" s="1979">
        <f>IF(Construction!$F$31=Construction!$R$22,Oeko!CA355,Oeko!EN355)</f>
        <v>0.76190476190476186</v>
      </c>
      <c r="O355" s="1979">
        <f>IF(Construction!$F$31=Construction!$R$22,Oeko!CB355,Oeko!EO355)</f>
        <v>0.76190476190476186</v>
      </c>
      <c r="P355" s="1979">
        <f>IF(Construction!$F$31=Construction!$R$22,Oeko!CC355,Oeko!EP355)</f>
        <v>0.76190476190476186</v>
      </c>
      <c r="Q355" s="1979">
        <f>IF(Construction!$F$31=Construction!$R$22,Oeko!CD355,Oeko!EQ355)</f>
        <v>0.76190476190476186</v>
      </c>
      <c r="R355" s="1979">
        <f>IF(Construction!$F$31=Construction!$R$22,Oeko!CE355,Oeko!ER355)</f>
        <v>0.76190476190476186</v>
      </c>
      <c r="S355" s="1998">
        <f>IF(Construction!$F$31=Construction!$R$22,Oeko!CF355,Oeko!ES355)</f>
        <v>1.1250000000000002</v>
      </c>
      <c r="T355" s="1998">
        <f>IF(Construction!$F$31=Construction!$R$22,Oeko!CG355,Oeko!ET355)</f>
        <v>1.1250000000000002</v>
      </c>
      <c r="U355" s="1998">
        <f>IF(Construction!$F$31=Construction!$R$22,Oeko!CH355,Oeko!EU355)</f>
        <v>1.1250000000000002</v>
      </c>
      <c r="V355" s="1998">
        <f>IF(Construction!$F$31=Construction!$R$22,Oeko!CI355,Oeko!EV355)</f>
        <v>1.1250000000000002</v>
      </c>
      <c r="W355" s="1998">
        <f>IF(Construction!$F$31=Construction!$R$22,Oeko!CJ355,Oeko!EW355)</f>
        <v>1.1250000000000002</v>
      </c>
      <c r="X355" s="1979">
        <f>IF(Construction!$F$31=Construction!$R$22,Oeko!CK355,Oeko!EX355)</f>
        <v>0.8</v>
      </c>
      <c r="Y355" s="1979">
        <f>IF(Construction!$F$31=Construction!$R$22,Oeko!CL355,Oeko!EY355)</f>
        <v>0.8</v>
      </c>
      <c r="Z355" s="1979">
        <f>IF(Construction!$F$31=Construction!$R$22,Oeko!CM355,Oeko!EZ355)</f>
        <v>0.8</v>
      </c>
      <c r="AA355" s="1979">
        <f>IF(Construction!$F$31=Construction!$R$22,Oeko!CN355,Oeko!FA355)</f>
        <v>0.8</v>
      </c>
      <c r="AB355" s="1979">
        <f>IF(Construction!$F$31=Construction!$R$22,Oeko!CO355,Oeko!FB355)</f>
        <v>0.8</v>
      </c>
      <c r="AC355" s="1998">
        <f>IF(Construction!$F$31=Construction!$R$22,Oeko!CP355,Oeko!FC355)</f>
        <v>1.0000000000000002</v>
      </c>
      <c r="AD355" s="1998">
        <f>IF(Construction!$F$31=Construction!$R$22,Oeko!CQ355,Oeko!FD355)</f>
        <v>1.0000000000000002</v>
      </c>
      <c r="AE355" s="1998">
        <f>IF(Construction!$F$31=Construction!$R$22,Oeko!CR355,Oeko!FE355)</f>
        <v>1.0000000000000002</v>
      </c>
      <c r="AF355" s="1998">
        <f>IF(Construction!$F$31=Construction!$R$22,Oeko!CS355,Oeko!FF355)</f>
        <v>1.0000000000000002</v>
      </c>
      <c r="AG355" s="1998">
        <f>IF(Construction!$F$31=Construction!$R$22,Oeko!CT355,Oeko!FG355)</f>
        <v>1.0000000000000002</v>
      </c>
      <c r="AH355" s="1979">
        <f>IF(Construction!$F$31=Construction!$R$22,Oeko!CU355,Oeko!FH355)</f>
        <v>1</v>
      </c>
      <c r="AI355" s="1979">
        <f>IF(Construction!$F$31=Construction!$R$22,Oeko!CV355,Oeko!FI355)</f>
        <v>1</v>
      </c>
      <c r="AJ355" s="1979">
        <f>IF(Construction!$F$31=Construction!$R$22,Oeko!CW355,Oeko!FJ355)</f>
        <v>1</v>
      </c>
      <c r="AK355" s="1979">
        <f>IF(Construction!$F$31=Construction!$R$22,Oeko!CX355,Oeko!FK355)</f>
        <v>1</v>
      </c>
      <c r="AL355" s="1979">
        <f>IF(Construction!$F$31=Construction!$R$22,Oeko!CY355,Oeko!FL355)</f>
        <v>1</v>
      </c>
      <c r="AM355" s="1998">
        <f>IF(Construction!$F$31=Construction!$R$22,Oeko!CZ355,Oeko!FM355)</f>
        <v>0.88888888888888884</v>
      </c>
      <c r="AN355" s="1998">
        <f>IF(Construction!$F$31=Construction!$R$22,Oeko!DA355,Oeko!FN355)</f>
        <v>0.88888888888888884</v>
      </c>
      <c r="AO355" s="1998">
        <f>IF(Construction!$F$31=Construction!$R$22,Oeko!DB355,Oeko!FO355)</f>
        <v>0.88888888888888884</v>
      </c>
      <c r="AP355" s="1998">
        <f>IF(Construction!$F$31=Construction!$R$22,Oeko!DC355,Oeko!FP355)</f>
        <v>0.88888888888888884</v>
      </c>
      <c r="AQ355" s="1998">
        <f>IF(Construction!$F$31=Construction!$R$22,Oeko!DD355,Oeko!FQ355)</f>
        <v>0.88888888888888884</v>
      </c>
      <c r="AR355" s="1979">
        <f>IF(Construction!$F$31=Construction!$R$22,Oeko!DE355,Oeko!FR355)</f>
        <v>8.0488597659215468</v>
      </c>
      <c r="AS355" s="1979">
        <f>IF(Construction!$F$31=Construction!$R$22,Oeko!DF355,Oeko!FS355)</f>
        <v>8.0488597659215468</v>
      </c>
      <c r="AT355" s="1979">
        <f>IF(Construction!$F$31=Construction!$R$22,Oeko!DG355,Oeko!FT355)</f>
        <v>8.0488597659215468</v>
      </c>
      <c r="AU355" s="1979">
        <f>IF(Construction!$F$31=Construction!$R$22,Oeko!DH355,Oeko!FU355)</f>
        <v>8.0488597659215468</v>
      </c>
      <c r="AV355" s="1979">
        <f>IF(Construction!$F$31=Construction!$R$22,Oeko!DI355,Oeko!FV355)</f>
        <v>8.0488597659215468</v>
      </c>
      <c r="AW355" s="1998">
        <f>IF(Construction!$F$31=Construction!$R$22,Oeko!DJ355,Oeko!FW355)</f>
        <v>8.0329061668367068</v>
      </c>
      <c r="AX355" s="1998">
        <f>IF(Construction!$F$31=Construction!$R$22,Oeko!DK355,Oeko!FX355)</f>
        <v>8.0329061668367068</v>
      </c>
      <c r="AY355" s="1998">
        <f>IF(Construction!$F$31=Construction!$R$22,Oeko!DL355,Oeko!FY355)</f>
        <v>8.0329061668367068</v>
      </c>
      <c r="AZ355" s="1998">
        <f>IF(Construction!$F$31=Construction!$R$22,Oeko!DM355,Oeko!FZ355)</f>
        <v>8.0329061668367068</v>
      </c>
      <c r="BA355" s="1998">
        <f>IF(Construction!$F$31=Construction!$R$22,Oeko!DN355,Oeko!GA355)</f>
        <v>8.0329061668367068</v>
      </c>
      <c r="BB355" s="1979">
        <f>IF(Construction!$F$31=Construction!$R$22,Oeko!DO355,Oeko!GB355)</f>
        <v>0.97975662301212196</v>
      </c>
      <c r="BC355" s="1979">
        <f>IF(Construction!$F$31=Construction!$R$22,Oeko!DP355,Oeko!GC355)</f>
        <v>0.97975662301212196</v>
      </c>
      <c r="BD355" s="1979">
        <f>IF(Construction!$F$31=Construction!$R$22,Oeko!DQ355,Oeko!GD355)</f>
        <v>0.97975662301212196</v>
      </c>
      <c r="BE355" s="1979">
        <f>IF(Construction!$F$31=Construction!$R$22,Oeko!DR355,Oeko!GE355)</f>
        <v>0.97975662301212196</v>
      </c>
      <c r="BF355" s="1979">
        <f>IF(Construction!$F$31=Construction!$R$22,Oeko!DS355,Oeko!GF355)</f>
        <v>0.97975662301212196</v>
      </c>
      <c r="BG355" s="1998">
        <f>IF(Construction!$F$31=Construction!$R$22,Oeko!DT355,Oeko!GG355)</f>
        <v>0.9761487634781606</v>
      </c>
      <c r="BH355" s="1998">
        <f>IF(Construction!$F$31=Construction!$R$22,Oeko!DU355,Oeko!GH355)</f>
        <v>0.9761487634781606</v>
      </c>
      <c r="BI355" s="1998">
        <f>IF(Construction!$F$31=Construction!$R$22,Oeko!DV355,Oeko!GI355)</f>
        <v>0.9761487634781606</v>
      </c>
      <c r="BJ355" s="1998">
        <f>IF(Construction!$F$31=Construction!$R$22,Oeko!DW355,Oeko!GJ355)</f>
        <v>0.9761487634781606</v>
      </c>
      <c r="BK355" s="2026">
        <f>IF(Construction!$F$31=Construction!$R$22,Oeko!DX355,Oeko!GK355)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IF(Construction!$F$31=Construction!$R$22,Oeko!BQ356,Oeko!ED356)</f>
        <v>0.9722222222222221</v>
      </c>
      <c r="E356" s="1979">
        <f>IF(Construction!$F$31=Construction!$R$22,Oeko!BR356,Oeko!EE356)</f>
        <v>0.9722222222222221</v>
      </c>
      <c r="F356" s="1979">
        <f>IF(Construction!$F$31=Construction!$R$22,Oeko!BS356,Oeko!EF356)</f>
        <v>0.9722222222222221</v>
      </c>
      <c r="G356" s="1979">
        <f>IF(Construction!$F$31=Construction!$R$22,Oeko!BT356,Oeko!EG356)</f>
        <v>0.9722222222222221</v>
      </c>
      <c r="H356" s="1979">
        <f>IF(Construction!$F$31=Construction!$R$22,Oeko!BU356,Oeko!EH356)</f>
        <v>0.9722222222222221</v>
      </c>
      <c r="I356" s="1998">
        <f>IF(Construction!$F$31=Construction!$R$22,Oeko!BV356,Oeko!EI356)</f>
        <v>1</v>
      </c>
      <c r="J356" s="1998">
        <f>IF(Construction!$F$31=Construction!$R$22,Oeko!BW356,Oeko!EJ356)</f>
        <v>1</v>
      </c>
      <c r="K356" s="1998">
        <f>IF(Construction!$F$31=Construction!$R$22,Oeko!BX356,Oeko!EK356)</f>
        <v>1</v>
      </c>
      <c r="L356" s="1998">
        <f>IF(Construction!$F$31=Construction!$R$22,Oeko!BY356,Oeko!EL356)</f>
        <v>1</v>
      </c>
      <c r="M356" s="1998">
        <f>IF(Construction!$F$31=Construction!$R$22,Oeko!BZ356,Oeko!EM356)</f>
        <v>1</v>
      </c>
      <c r="N356" s="1979">
        <f>IF(Construction!$F$31=Construction!$R$22,Oeko!CA356,Oeko!EN356)</f>
        <v>0.76190476190476186</v>
      </c>
      <c r="O356" s="1979">
        <f>IF(Construction!$F$31=Construction!$R$22,Oeko!CB356,Oeko!EO356)</f>
        <v>0.76190476190476186</v>
      </c>
      <c r="P356" s="1979">
        <f>IF(Construction!$F$31=Construction!$R$22,Oeko!CC356,Oeko!EP356)</f>
        <v>0.76190476190476186</v>
      </c>
      <c r="Q356" s="1979">
        <f>IF(Construction!$F$31=Construction!$R$22,Oeko!CD356,Oeko!EQ356)</f>
        <v>0.76190476190476186</v>
      </c>
      <c r="R356" s="1979">
        <f>IF(Construction!$F$31=Construction!$R$22,Oeko!CE356,Oeko!ER356)</f>
        <v>0.76190476190476186</v>
      </c>
      <c r="S356" s="1998">
        <f>IF(Construction!$F$31=Construction!$R$22,Oeko!CF356,Oeko!ES356)</f>
        <v>1</v>
      </c>
      <c r="T356" s="1998">
        <f>IF(Construction!$F$31=Construction!$R$22,Oeko!CG356,Oeko!ET356)</f>
        <v>1</v>
      </c>
      <c r="U356" s="1998">
        <f>IF(Construction!$F$31=Construction!$R$22,Oeko!CH356,Oeko!EU356)</f>
        <v>1</v>
      </c>
      <c r="V356" s="1998">
        <f>IF(Construction!$F$31=Construction!$R$22,Oeko!CI356,Oeko!EV356)</f>
        <v>1</v>
      </c>
      <c r="W356" s="1998">
        <f>IF(Construction!$F$31=Construction!$R$22,Oeko!CJ356,Oeko!EW356)</f>
        <v>1</v>
      </c>
      <c r="X356" s="1979">
        <f>IF(Construction!$F$31=Construction!$R$22,Oeko!CK356,Oeko!EX356)</f>
        <v>0.79999999999999982</v>
      </c>
      <c r="Y356" s="1979">
        <f>IF(Construction!$F$31=Construction!$R$22,Oeko!CL356,Oeko!EY356)</f>
        <v>0.79999999999999982</v>
      </c>
      <c r="Z356" s="1979">
        <f>IF(Construction!$F$31=Construction!$R$22,Oeko!CM356,Oeko!EZ356)</f>
        <v>0.79999999999999982</v>
      </c>
      <c r="AA356" s="1979">
        <f>IF(Construction!$F$31=Construction!$R$22,Oeko!CN356,Oeko!FA356)</f>
        <v>0.79999999999999982</v>
      </c>
      <c r="AB356" s="1979">
        <f>IF(Construction!$F$31=Construction!$R$22,Oeko!CO356,Oeko!FB356)</f>
        <v>0.79999999999999982</v>
      </c>
      <c r="AC356" s="1998">
        <f>IF(Construction!$F$31=Construction!$R$22,Oeko!CP356,Oeko!FC356)</f>
        <v>1.0000000000000002</v>
      </c>
      <c r="AD356" s="1998">
        <f>IF(Construction!$F$31=Construction!$R$22,Oeko!CQ356,Oeko!FD356)</f>
        <v>1.0000000000000002</v>
      </c>
      <c r="AE356" s="1998">
        <f>IF(Construction!$F$31=Construction!$R$22,Oeko!CR356,Oeko!FE356)</f>
        <v>1.0000000000000002</v>
      </c>
      <c r="AF356" s="1998">
        <f>IF(Construction!$F$31=Construction!$R$22,Oeko!CS356,Oeko!FF356)</f>
        <v>1.0000000000000002</v>
      </c>
      <c r="AG356" s="1998">
        <f>IF(Construction!$F$31=Construction!$R$22,Oeko!CT356,Oeko!FG356)</f>
        <v>1.0000000000000002</v>
      </c>
      <c r="AH356" s="1979">
        <f>IF(Construction!$F$31=Construction!$R$22,Oeko!CU356,Oeko!FH356)</f>
        <v>0.99999999999999978</v>
      </c>
      <c r="AI356" s="1979">
        <f>IF(Construction!$F$31=Construction!$R$22,Oeko!CV356,Oeko!FI356)</f>
        <v>0.99999999999999978</v>
      </c>
      <c r="AJ356" s="1979">
        <f>IF(Construction!$F$31=Construction!$R$22,Oeko!CW356,Oeko!FJ356)</f>
        <v>0.99999999999999978</v>
      </c>
      <c r="AK356" s="1979">
        <f>IF(Construction!$F$31=Construction!$R$22,Oeko!CX356,Oeko!FK356)</f>
        <v>0.99999999999999978</v>
      </c>
      <c r="AL356" s="1979">
        <f>IF(Construction!$F$31=Construction!$R$22,Oeko!CY356,Oeko!FL356)</f>
        <v>0.99999999999999978</v>
      </c>
      <c r="AM356" s="1998">
        <f>IF(Construction!$F$31=Construction!$R$22,Oeko!CZ356,Oeko!FM356)</f>
        <v>0.88888888888888884</v>
      </c>
      <c r="AN356" s="1998">
        <f>IF(Construction!$F$31=Construction!$R$22,Oeko!DA356,Oeko!FN356)</f>
        <v>0.88888888888888884</v>
      </c>
      <c r="AO356" s="1998">
        <f>IF(Construction!$F$31=Construction!$R$22,Oeko!DB356,Oeko!FO356)</f>
        <v>0.88888888888888884</v>
      </c>
      <c r="AP356" s="1998">
        <f>IF(Construction!$F$31=Construction!$R$22,Oeko!DC356,Oeko!FP356)</f>
        <v>0.88888888888888884</v>
      </c>
      <c r="AQ356" s="1998">
        <f>IF(Construction!$F$31=Construction!$R$22,Oeko!DD356,Oeko!FQ356)</f>
        <v>0.88888888888888884</v>
      </c>
      <c r="AR356" s="1979">
        <f>IF(Construction!$F$31=Construction!$R$22,Oeko!DE356,Oeko!FR356)</f>
        <v>8.0488597659215451</v>
      </c>
      <c r="AS356" s="1979">
        <f>IF(Construction!$F$31=Construction!$R$22,Oeko!DF356,Oeko!FS356)</f>
        <v>8.0488597659215451</v>
      </c>
      <c r="AT356" s="1979">
        <f>IF(Construction!$F$31=Construction!$R$22,Oeko!DG356,Oeko!FT356)</f>
        <v>8.0488597659215451</v>
      </c>
      <c r="AU356" s="1979">
        <f>IF(Construction!$F$31=Construction!$R$22,Oeko!DH356,Oeko!FU356)</f>
        <v>8.0488597659215451</v>
      </c>
      <c r="AV356" s="1979">
        <f>IF(Construction!$F$31=Construction!$R$22,Oeko!DI356,Oeko!FV356)</f>
        <v>8.0488597659215451</v>
      </c>
      <c r="AW356" s="1998">
        <f>IF(Construction!$F$31=Construction!$R$22,Oeko!DJ356,Oeko!FW356)</f>
        <v>8.0329061668367086</v>
      </c>
      <c r="AX356" s="1998">
        <f>IF(Construction!$F$31=Construction!$R$22,Oeko!DK356,Oeko!FX356)</f>
        <v>8.0329061668367086</v>
      </c>
      <c r="AY356" s="1998">
        <f>IF(Construction!$F$31=Construction!$R$22,Oeko!DL356,Oeko!FY356)</f>
        <v>8.0329061668367086</v>
      </c>
      <c r="AZ356" s="1998">
        <f>IF(Construction!$F$31=Construction!$R$22,Oeko!DM356,Oeko!FZ356)</f>
        <v>8.0329061668367086</v>
      </c>
      <c r="BA356" s="1998">
        <f>IF(Construction!$F$31=Construction!$R$22,Oeko!DN356,Oeko!GA356)</f>
        <v>8.0329061668367086</v>
      </c>
      <c r="BB356" s="1979">
        <f>IF(Construction!$F$31=Construction!$R$22,Oeko!DO356,Oeko!GB356)</f>
        <v>0.97975662301212196</v>
      </c>
      <c r="BC356" s="1979">
        <f>IF(Construction!$F$31=Construction!$R$22,Oeko!DP356,Oeko!GC356)</f>
        <v>0.97975662301212196</v>
      </c>
      <c r="BD356" s="1979">
        <f>IF(Construction!$F$31=Construction!$R$22,Oeko!DQ356,Oeko!GD356)</f>
        <v>0.97975662301212196</v>
      </c>
      <c r="BE356" s="1979">
        <f>IF(Construction!$F$31=Construction!$R$22,Oeko!DR356,Oeko!GE356)</f>
        <v>0.97975662301212196</v>
      </c>
      <c r="BF356" s="1979">
        <f>IF(Construction!$F$31=Construction!$R$22,Oeko!DS356,Oeko!GF356)</f>
        <v>0.97975662301212196</v>
      </c>
      <c r="BG356" s="1998">
        <f>IF(Construction!$F$31=Construction!$R$22,Oeko!DT356,Oeko!GG356)</f>
        <v>0.9761487634781606</v>
      </c>
      <c r="BH356" s="1998">
        <f>IF(Construction!$F$31=Construction!$R$22,Oeko!DU356,Oeko!GH356)</f>
        <v>0.9761487634781606</v>
      </c>
      <c r="BI356" s="1998">
        <f>IF(Construction!$F$31=Construction!$R$22,Oeko!DV356,Oeko!GI356)</f>
        <v>0.9761487634781606</v>
      </c>
      <c r="BJ356" s="1998">
        <f>IF(Construction!$F$31=Construction!$R$22,Oeko!DW356,Oeko!GJ356)</f>
        <v>0.9761487634781606</v>
      </c>
      <c r="BK356" s="2026">
        <f>IF(Construction!$F$31=Construction!$R$22,Oeko!DX356,Oeko!GK356)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IF(Construction!$F$31=Construction!$R$22,Oeko!BQ357,Oeko!ED357)</f>
        <v>0.93333333333333335</v>
      </c>
      <c r="E357" s="1979">
        <f>IF(Construction!$F$31=Construction!$R$22,Oeko!BR357,Oeko!EE357)</f>
        <v>0.93333333333333335</v>
      </c>
      <c r="F357" s="1979">
        <f>IF(Construction!$F$31=Construction!$R$22,Oeko!BS357,Oeko!EF357)</f>
        <v>0.93333333333333335</v>
      </c>
      <c r="G357" s="1979">
        <f>IF(Construction!$F$31=Construction!$R$22,Oeko!BT357,Oeko!EG357)</f>
        <v>0.93333333333333335</v>
      </c>
      <c r="H357" s="1979">
        <f>IF(Construction!$F$31=Construction!$R$22,Oeko!BU357,Oeko!EH357)</f>
        <v>0.93333333333333335</v>
      </c>
      <c r="I357" s="1998">
        <f>IF(Construction!$F$31=Construction!$R$22,Oeko!BV357,Oeko!EI357)</f>
        <v>0.99999999999999978</v>
      </c>
      <c r="J357" s="1998">
        <f>IF(Construction!$F$31=Construction!$R$22,Oeko!BW357,Oeko!EJ357)</f>
        <v>0.99999999999999978</v>
      </c>
      <c r="K357" s="1998">
        <f>IF(Construction!$F$31=Construction!$R$22,Oeko!BX357,Oeko!EK357)</f>
        <v>0.99999999999999978</v>
      </c>
      <c r="L357" s="1998">
        <f>IF(Construction!$F$31=Construction!$R$22,Oeko!BY357,Oeko!EL357)</f>
        <v>0.99999999999999978</v>
      </c>
      <c r="M357" s="1998">
        <f>IF(Construction!$F$31=Construction!$R$22,Oeko!BZ357,Oeko!EM357)</f>
        <v>0.99999999999999978</v>
      </c>
      <c r="N357" s="1979">
        <f>IF(Construction!$F$31=Construction!$R$22,Oeko!CA357,Oeko!EN357)</f>
        <v>0.5714285714285714</v>
      </c>
      <c r="O357" s="1979">
        <f>IF(Construction!$F$31=Construction!$R$22,Oeko!CB357,Oeko!EO357)</f>
        <v>0.5714285714285714</v>
      </c>
      <c r="P357" s="1979">
        <f>IF(Construction!$F$31=Construction!$R$22,Oeko!CC357,Oeko!EP357)</f>
        <v>0.5714285714285714</v>
      </c>
      <c r="Q357" s="1979">
        <f>IF(Construction!$F$31=Construction!$R$22,Oeko!CD357,Oeko!EQ357)</f>
        <v>0.5714285714285714</v>
      </c>
      <c r="R357" s="1979">
        <f>IF(Construction!$F$31=Construction!$R$22,Oeko!CE357,Oeko!ER357)</f>
        <v>0.5714285714285714</v>
      </c>
      <c r="S357" s="1998">
        <f>IF(Construction!$F$31=Construction!$R$22,Oeko!CF357,Oeko!ES357)</f>
        <v>0.75000000000000011</v>
      </c>
      <c r="T357" s="1998">
        <f>IF(Construction!$F$31=Construction!$R$22,Oeko!CG357,Oeko!ET357)</f>
        <v>0.75000000000000011</v>
      </c>
      <c r="U357" s="1998">
        <f>IF(Construction!$F$31=Construction!$R$22,Oeko!CH357,Oeko!EU357)</f>
        <v>0.75000000000000011</v>
      </c>
      <c r="V357" s="1998">
        <f>IF(Construction!$F$31=Construction!$R$22,Oeko!CI357,Oeko!EV357)</f>
        <v>0.75000000000000011</v>
      </c>
      <c r="W357" s="1998">
        <f>IF(Construction!$F$31=Construction!$R$22,Oeko!CJ357,Oeko!EW357)</f>
        <v>0.75000000000000011</v>
      </c>
      <c r="X357" s="1979">
        <f>IF(Construction!$F$31=Construction!$R$22,Oeko!CK357,Oeko!EX357)</f>
        <v>0.6</v>
      </c>
      <c r="Y357" s="1979">
        <f>IF(Construction!$F$31=Construction!$R$22,Oeko!CL357,Oeko!EY357)</f>
        <v>0.6</v>
      </c>
      <c r="Z357" s="1979">
        <f>IF(Construction!$F$31=Construction!$R$22,Oeko!CM357,Oeko!EZ357)</f>
        <v>0.6</v>
      </c>
      <c r="AA357" s="1979">
        <f>IF(Construction!$F$31=Construction!$R$22,Oeko!CN357,Oeko!FA357)</f>
        <v>0.6</v>
      </c>
      <c r="AB357" s="1979">
        <f>IF(Construction!$F$31=Construction!$R$22,Oeko!CO357,Oeko!FB357)</f>
        <v>0.6</v>
      </c>
      <c r="AC357" s="1998">
        <f>IF(Construction!$F$31=Construction!$R$22,Oeko!CP357,Oeko!FC357)</f>
        <v>1</v>
      </c>
      <c r="AD357" s="1998">
        <f>IF(Construction!$F$31=Construction!$R$22,Oeko!CQ357,Oeko!FD357)</f>
        <v>1</v>
      </c>
      <c r="AE357" s="1998">
        <f>IF(Construction!$F$31=Construction!$R$22,Oeko!CR357,Oeko!FE357)</f>
        <v>1</v>
      </c>
      <c r="AF357" s="1998">
        <f>IF(Construction!$F$31=Construction!$R$22,Oeko!CS357,Oeko!FF357)</f>
        <v>1</v>
      </c>
      <c r="AG357" s="1998">
        <f>IF(Construction!$F$31=Construction!$R$22,Oeko!CT357,Oeko!FG357)</f>
        <v>1</v>
      </c>
      <c r="AH357" s="1979">
        <f>IF(Construction!$F$31=Construction!$R$22,Oeko!CU357,Oeko!FH357)</f>
        <v>0.99999999999999978</v>
      </c>
      <c r="AI357" s="1979">
        <f>IF(Construction!$F$31=Construction!$R$22,Oeko!CV357,Oeko!FI357)</f>
        <v>0.99999999999999978</v>
      </c>
      <c r="AJ357" s="1979">
        <f>IF(Construction!$F$31=Construction!$R$22,Oeko!CW357,Oeko!FJ357)</f>
        <v>0.99999999999999978</v>
      </c>
      <c r="AK357" s="1979">
        <f>IF(Construction!$F$31=Construction!$R$22,Oeko!CX357,Oeko!FK357)</f>
        <v>0.99999999999999978</v>
      </c>
      <c r="AL357" s="1979">
        <f>IF(Construction!$F$31=Construction!$R$22,Oeko!CY357,Oeko!FL357)</f>
        <v>0.99999999999999978</v>
      </c>
      <c r="AM357" s="1998">
        <f>IF(Construction!$F$31=Construction!$R$22,Oeko!CZ357,Oeko!FM357)</f>
        <v>0.88888888888888884</v>
      </c>
      <c r="AN357" s="1998">
        <f>IF(Construction!$F$31=Construction!$R$22,Oeko!DA357,Oeko!FN357)</f>
        <v>0.88888888888888884</v>
      </c>
      <c r="AO357" s="1998">
        <f>IF(Construction!$F$31=Construction!$R$22,Oeko!DB357,Oeko!FO357)</f>
        <v>0.88888888888888884</v>
      </c>
      <c r="AP357" s="1998">
        <f>IF(Construction!$F$31=Construction!$R$22,Oeko!DC357,Oeko!FP357)</f>
        <v>0.88888888888888884</v>
      </c>
      <c r="AQ357" s="1998">
        <f>IF(Construction!$F$31=Construction!$R$22,Oeko!DD357,Oeko!FQ357)</f>
        <v>0.88888888888888884</v>
      </c>
      <c r="AR357" s="1979">
        <f>IF(Construction!$F$31=Construction!$R$22,Oeko!DE357,Oeko!FR357)</f>
        <v>8.0488597659215451</v>
      </c>
      <c r="AS357" s="1979">
        <f>IF(Construction!$F$31=Construction!$R$22,Oeko!DF357,Oeko!FS357)</f>
        <v>8.0488597659215451</v>
      </c>
      <c r="AT357" s="1979">
        <f>IF(Construction!$F$31=Construction!$R$22,Oeko!DG357,Oeko!FT357)</f>
        <v>8.0488597659215451</v>
      </c>
      <c r="AU357" s="1979">
        <f>IF(Construction!$F$31=Construction!$R$22,Oeko!DH357,Oeko!FU357)</f>
        <v>8.0488597659215451</v>
      </c>
      <c r="AV357" s="1979">
        <f>IF(Construction!$F$31=Construction!$R$22,Oeko!DI357,Oeko!FV357)</f>
        <v>8.0488597659215451</v>
      </c>
      <c r="AW357" s="1998">
        <f>IF(Construction!$F$31=Construction!$R$22,Oeko!DJ357,Oeko!FW357)</f>
        <v>8.0329061668367068</v>
      </c>
      <c r="AX357" s="1998">
        <f>IF(Construction!$F$31=Construction!$R$22,Oeko!DK357,Oeko!FX357)</f>
        <v>8.0329061668367068</v>
      </c>
      <c r="AY357" s="1998">
        <f>IF(Construction!$F$31=Construction!$R$22,Oeko!DL357,Oeko!FY357)</f>
        <v>8.0329061668367068</v>
      </c>
      <c r="AZ357" s="1998">
        <f>IF(Construction!$F$31=Construction!$R$22,Oeko!DM357,Oeko!FZ357)</f>
        <v>8.0329061668367068</v>
      </c>
      <c r="BA357" s="1998">
        <f>IF(Construction!$F$31=Construction!$R$22,Oeko!DN357,Oeko!GA357)</f>
        <v>8.0329061668367068</v>
      </c>
      <c r="BB357" s="1979">
        <f>IF(Construction!$F$31=Construction!$R$22,Oeko!DO357,Oeko!GB357)</f>
        <v>0.97975662301212196</v>
      </c>
      <c r="BC357" s="1979">
        <f>IF(Construction!$F$31=Construction!$R$22,Oeko!DP357,Oeko!GC357)</f>
        <v>0.97975662301212196</v>
      </c>
      <c r="BD357" s="1979">
        <f>IF(Construction!$F$31=Construction!$R$22,Oeko!DQ357,Oeko!GD357)</f>
        <v>0.97975662301212196</v>
      </c>
      <c r="BE357" s="1979">
        <f>IF(Construction!$F$31=Construction!$R$22,Oeko!DR357,Oeko!GE357)</f>
        <v>0.97975662301212196</v>
      </c>
      <c r="BF357" s="1979">
        <f>IF(Construction!$F$31=Construction!$R$22,Oeko!DS357,Oeko!GF357)</f>
        <v>0.97975662301212196</v>
      </c>
      <c r="BG357" s="1998">
        <f>IF(Construction!$F$31=Construction!$R$22,Oeko!DT357,Oeko!GG357)</f>
        <v>0.97614876347816082</v>
      </c>
      <c r="BH357" s="1998">
        <f>IF(Construction!$F$31=Construction!$R$22,Oeko!DU357,Oeko!GH357)</f>
        <v>0.97614876347816082</v>
      </c>
      <c r="BI357" s="1998">
        <f>IF(Construction!$F$31=Construction!$R$22,Oeko!DV357,Oeko!GI357)</f>
        <v>0.97614876347816082</v>
      </c>
      <c r="BJ357" s="1998">
        <f>IF(Construction!$F$31=Construction!$R$22,Oeko!DW357,Oeko!GJ357)</f>
        <v>0.97614876347816082</v>
      </c>
      <c r="BK357" s="2026">
        <f>IF(Construction!$F$31=Construction!$R$22,Oeko!DX357,Oeko!GK357)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Proportion de fenêtres </v>
      </c>
      <c r="D358" s="1979">
        <f>IF(Construction!$F$31=Construction!$R$22,Oeko!BQ358,Oeko!ED358)</f>
        <v>0</v>
      </c>
      <c r="E358" s="1979">
        <f>IF(Construction!$F$31=Construction!$R$22,Oeko!BR358,Oeko!EE358)</f>
        <v>0</v>
      </c>
      <c r="F358" s="1979">
        <f>IF(Construction!$F$31=Construction!$R$22,Oeko!BS358,Oeko!EF358)</f>
        <v>0</v>
      </c>
      <c r="G358" s="1979">
        <f>IF(Construction!$F$31=Construction!$R$22,Oeko!BT358,Oeko!EG358)</f>
        <v>0</v>
      </c>
      <c r="H358" s="1979">
        <f>IF(Construction!$F$31=Construction!$R$22,Oeko!BU358,Oeko!EH358)</f>
        <v>0</v>
      </c>
      <c r="I358" s="1998">
        <f>IF(Construction!$F$31=Construction!$R$22,Oeko!BV358,Oeko!EI358)</f>
        <v>0</v>
      </c>
      <c r="J358" s="1998">
        <f>IF(Construction!$F$31=Construction!$R$22,Oeko!BW358,Oeko!EJ358)</f>
        <v>0</v>
      </c>
      <c r="K358" s="1998">
        <f>IF(Construction!$F$31=Construction!$R$22,Oeko!BX358,Oeko!EK358)</f>
        <v>0</v>
      </c>
      <c r="L358" s="1998">
        <f>IF(Construction!$F$31=Construction!$R$22,Oeko!BY358,Oeko!EL358)</f>
        <v>0</v>
      </c>
      <c r="M358" s="1998">
        <f>IF(Construction!$F$31=Construction!$R$22,Oeko!BZ358,Oeko!EM358)</f>
        <v>0</v>
      </c>
      <c r="N358" s="1979">
        <f>IF(Construction!$F$31=Construction!$R$22,Oeko!CA358,Oeko!EN358)</f>
        <v>0</v>
      </c>
      <c r="O358" s="1979">
        <f>IF(Construction!$F$31=Construction!$R$22,Oeko!CB358,Oeko!EO358)</f>
        <v>0</v>
      </c>
      <c r="P358" s="1979">
        <f>IF(Construction!$F$31=Construction!$R$22,Oeko!CC358,Oeko!EP358)</f>
        <v>0</v>
      </c>
      <c r="Q358" s="1979">
        <f>IF(Construction!$F$31=Construction!$R$22,Oeko!CD358,Oeko!EQ358)</f>
        <v>0</v>
      </c>
      <c r="R358" s="1979">
        <f>IF(Construction!$F$31=Construction!$R$22,Oeko!CE358,Oeko!ER358)</f>
        <v>0</v>
      </c>
      <c r="S358" s="1998">
        <f>IF(Construction!$F$31=Construction!$R$22,Oeko!CF358,Oeko!ES358)</f>
        <v>0</v>
      </c>
      <c r="T358" s="1998">
        <f>IF(Construction!$F$31=Construction!$R$22,Oeko!CG358,Oeko!ET358)</f>
        <v>0</v>
      </c>
      <c r="U358" s="1998">
        <f>IF(Construction!$F$31=Construction!$R$22,Oeko!CH358,Oeko!EU358)</f>
        <v>0</v>
      </c>
      <c r="V358" s="1998">
        <f>IF(Construction!$F$31=Construction!$R$22,Oeko!CI358,Oeko!EV358)</f>
        <v>0</v>
      </c>
      <c r="W358" s="1998">
        <f>IF(Construction!$F$31=Construction!$R$22,Oeko!CJ358,Oeko!EW358)</f>
        <v>0</v>
      </c>
      <c r="X358" s="1979">
        <f>IF(Construction!$F$31=Construction!$R$22,Oeko!CK358,Oeko!EX358)</f>
        <v>1</v>
      </c>
      <c r="Y358" s="1979">
        <f>IF(Construction!$F$31=Construction!$R$22,Oeko!CL358,Oeko!EY358)</f>
        <v>1</v>
      </c>
      <c r="Z358" s="1979">
        <f>IF(Construction!$F$31=Construction!$R$22,Oeko!CM358,Oeko!EZ358)</f>
        <v>1</v>
      </c>
      <c r="AA358" s="1979">
        <f>IF(Construction!$F$31=Construction!$R$22,Oeko!CN358,Oeko!FA358)</f>
        <v>1</v>
      </c>
      <c r="AB358" s="1979">
        <f>IF(Construction!$F$31=Construction!$R$22,Oeko!CO358,Oeko!FB358)</f>
        <v>1</v>
      </c>
      <c r="AC358" s="1998">
        <f>IF(Construction!$F$31=Construction!$R$22,Oeko!CP358,Oeko!FC358)</f>
        <v>0</v>
      </c>
      <c r="AD358" s="1998">
        <f>IF(Construction!$F$31=Construction!$R$22,Oeko!CQ358,Oeko!FD358)</f>
        <v>0</v>
      </c>
      <c r="AE358" s="1998">
        <f>IF(Construction!$F$31=Construction!$R$22,Oeko!CR358,Oeko!FE358)</f>
        <v>0</v>
      </c>
      <c r="AF358" s="1998">
        <f>IF(Construction!$F$31=Construction!$R$22,Oeko!CS358,Oeko!FF358)</f>
        <v>0</v>
      </c>
      <c r="AG358" s="1998">
        <f>IF(Construction!$F$31=Construction!$R$22,Oeko!CT358,Oeko!FG358)</f>
        <v>0</v>
      </c>
      <c r="AH358" s="1979">
        <f>IF(Construction!$F$31=Construction!$R$22,Oeko!CU358,Oeko!FH358)</f>
        <v>1</v>
      </c>
      <c r="AI358" s="1979">
        <f>IF(Construction!$F$31=Construction!$R$22,Oeko!CV358,Oeko!FI358)</f>
        <v>1</v>
      </c>
      <c r="AJ358" s="1979">
        <f>IF(Construction!$F$31=Construction!$R$22,Oeko!CW358,Oeko!FJ358)</f>
        <v>1</v>
      </c>
      <c r="AK358" s="1979">
        <f>IF(Construction!$F$31=Construction!$R$22,Oeko!CX358,Oeko!FK358)</f>
        <v>1</v>
      </c>
      <c r="AL358" s="1979">
        <f>IF(Construction!$F$31=Construction!$R$22,Oeko!CY358,Oeko!FL358)</f>
        <v>1</v>
      </c>
      <c r="AM358" s="1998">
        <f>IF(Construction!$F$31=Construction!$R$22,Oeko!CZ358,Oeko!FM358)</f>
        <v>1</v>
      </c>
      <c r="AN358" s="1998">
        <f>IF(Construction!$F$31=Construction!$R$22,Oeko!DA358,Oeko!FN358)</f>
        <v>1</v>
      </c>
      <c r="AO358" s="1998">
        <f>IF(Construction!$F$31=Construction!$R$22,Oeko!DB358,Oeko!FO358)</f>
        <v>1</v>
      </c>
      <c r="AP358" s="1998">
        <f>IF(Construction!$F$31=Construction!$R$22,Oeko!DC358,Oeko!FP358)</f>
        <v>1</v>
      </c>
      <c r="AQ358" s="1998">
        <f>IF(Construction!$F$31=Construction!$R$22,Oeko!DD358,Oeko!FQ358)</f>
        <v>1</v>
      </c>
      <c r="AR358" s="1979">
        <f>IF(Construction!$F$31=Construction!$R$22,Oeko!DE358,Oeko!FR358)</f>
        <v>8.0488597659215451</v>
      </c>
      <c r="AS358" s="1979">
        <f>IF(Construction!$F$31=Construction!$R$22,Oeko!DF358,Oeko!FS358)</f>
        <v>8.0488597659215451</v>
      </c>
      <c r="AT358" s="1979">
        <f>IF(Construction!$F$31=Construction!$R$22,Oeko!DG358,Oeko!FT358)</f>
        <v>8.0488597659215451</v>
      </c>
      <c r="AU358" s="1979">
        <f>IF(Construction!$F$31=Construction!$R$22,Oeko!DH358,Oeko!FU358)</f>
        <v>8.0488597659215451</v>
      </c>
      <c r="AV358" s="1979">
        <f>IF(Construction!$F$31=Construction!$R$22,Oeko!DI358,Oeko!FV358)</f>
        <v>8.0488597659215451</v>
      </c>
      <c r="AW358" s="1998">
        <f>IF(Construction!$F$31=Construction!$R$22,Oeko!DJ358,Oeko!FW358)</f>
        <v>8.0329061668367086</v>
      </c>
      <c r="AX358" s="1998">
        <f>IF(Construction!$F$31=Construction!$R$22,Oeko!DK358,Oeko!FX358)</f>
        <v>8.0329061668367086</v>
      </c>
      <c r="AY358" s="1998">
        <f>IF(Construction!$F$31=Construction!$R$22,Oeko!DL358,Oeko!FY358)</f>
        <v>8.0329061668367086</v>
      </c>
      <c r="AZ358" s="1998">
        <f>IF(Construction!$F$31=Construction!$R$22,Oeko!DM358,Oeko!FZ358)</f>
        <v>8.0329061668367086</v>
      </c>
      <c r="BA358" s="1998">
        <f>IF(Construction!$F$31=Construction!$R$22,Oeko!DN358,Oeko!GA358)</f>
        <v>8.0329061668367086</v>
      </c>
      <c r="BB358" s="1979">
        <f>IF(Construction!$F$31=Construction!$R$22,Oeko!DO358,Oeko!GB358)</f>
        <v>0.97975662301212196</v>
      </c>
      <c r="BC358" s="1979">
        <f>IF(Construction!$F$31=Construction!$R$22,Oeko!DP358,Oeko!GC358)</f>
        <v>0.97975662301212196</v>
      </c>
      <c r="BD358" s="1979">
        <f>IF(Construction!$F$31=Construction!$R$22,Oeko!DQ358,Oeko!GD358)</f>
        <v>0.97975662301212196</v>
      </c>
      <c r="BE358" s="1979">
        <f>IF(Construction!$F$31=Construction!$R$22,Oeko!DR358,Oeko!GE358)</f>
        <v>0.97975662301212196</v>
      </c>
      <c r="BF358" s="1979">
        <f>IF(Construction!$F$31=Construction!$R$22,Oeko!DS358,Oeko!GF358)</f>
        <v>0.97975662301212196</v>
      </c>
      <c r="BG358" s="1998">
        <f>IF(Construction!$F$31=Construction!$R$22,Oeko!DT358,Oeko!GG358)</f>
        <v>0.97614876347816082</v>
      </c>
      <c r="BH358" s="1998">
        <f>IF(Construction!$F$31=Construction!$R$22,Oeko!DU358,Oeko!GH358)</f>
        <v>0.97614876347816082</v>
      </c>
      <c r="BI358" s="1998">
        <f>IF(Construction!$F$31=Construction!$R$22,Oeko!DV358,Oeko!GI358)</f>
        <v>0.97614876347816082</v>
      </c>
      <c r="BJ358" s="1998">
        <f>IF(Construction!$F$31=Construction!$R$22,Oeko!DW358,Oeko!GJ358)</f>
        <v>0.97614876347816082</v>
      </c>
      <c r="BK358" s="2026">
        <f>IF(Construction!$F$31=Construction!$R$22,Oeko!DX358,Oeko!GK358)</f>
        <v>0.97614876347816082</v>
      </c>
      <c r="BN358" s="2022"/>
      <c r="BO358" s="2">
        <v>13</v>
      </c>
      <c r="BP358" s="2" t="str">
        <f>CONCATENATE($U$8," ",GV$7)</f>
        <v xml:space="preserve">Proportion de fenêtres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Proportion de fenêtres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Proportion de fenêtres </v>
      </c>
      <c r="D359" s="1979">
        <f>IF(Construction!$F$31=Construction!$R$22,Oeko!BQ359,Oeko!ED359)</f>
        <v>0</v>
      </c>
      <c r="E359" s="1979">
        <f>IF(Construction!$F$31=Construction!$R$22,Oeko!BR359,Oeko!EE359)</f>
        <v>0</v>
      </c>
      <c r="F359" s="1979">
        <f>IF(Construction!$F$31=Construction!$R$22,Oeko!BS359,Oeko!EF359)</f>
        <v>0</v>
      </c>
      <c r="G359" s="1979">
        <f>IF(Construction!$F$31=Construction!$R$22,Oeko!BT359,Oeko!EG359)</f>
        <v>0</v>
      </c>
      <c r="H359" s="1979">
        <f>IF(Construction!$F$31=Construction!$R$22,Oeko!BU359,Oeko!EH359)</f>
        <v>0</v>
      </c>
      <c r="I359" s="1998">
        <f>IF(Construction!$F$31=Construction!$R$22,Oeko!BV359,Oeko!EI359)</f>
        <v>0</v>
      </c>
      <c r="J359" s="1998">
        <f>IF(Construction!$F$31=Construction!$R$22,Oeko!BW359,Oeko!EJ359)</f>
        <v>0</v>
      </c>
      <c r="K359" s="1998">
        <f>IF(Construction!$F$31=Construction!$R$22,Oeko!BX359,Oeko!EK359)</f>
        <v>0</v>
      </c>
      <c r="L359" s="1998">
        <f>IF(Construction!$F$31=Construction!$R$22,Oeko!BY359,Oeko!EL359)</f>
        <v>0</v>
      </c>
      <c r="M359" s="1998">
        <f>IF(Construction!$F$31=Construction!$R$22,Oeko!BZ359,Oeko!EM359)</f>
        <v>0</v>
      </c>
      <c r="N359" s="1979">
        <f>IF(Construction!$F$31=Construction!$R$22,Oeko!CA359,Oeko!EN359)</f>
        <v>0</v>
      </c>
      <c r="O359" s="1979">
        <f>IF(Construction!$F$31=Construction!$R$22,Oeko!CB359,Oeko!EO359)</f>
        <v>0</v>
      </c>
      <c r="P359" s="1979">
        <f>IF(Construction!$F$31=Construction!$R$22,Oeko!CC359,Oeko!EP359)</f>
        <v>0</v>
      </c>
      <c r="Q359" s="1979">
        <f>IF(Construction!$F$31=Construction!$R$22,Oeko!CD359,Oeko!EQ359)</f>
        <v>0</v>
      </c>
      <c r="R359" s="1979">
        <f>IF(Construction!$F$31=Construction!$R$22,Oeko!CE359,Oeko!ER359)</f>
        <v>0</v>
      </c>
      <c r="S359" s="1998">
        <f>IF(Construction!$F$31=Construction!$R$22,Oeko!CF359,Oeko!ES359)</f>
        <v>0</v>
      </c>
      <c r="T359" s="1998">
        <f>IF(Construction!$F$31=Construction!$R$22,Oeko!CG359,Oeko!ET359)</f>
        <v>0</v>
      </c>
      <c r="U359" s="1998">
        <f>IF(Construction!$F$31=Construction!$R$22,Oeko!CH359,Oeko!EU359)</f>
        <v>0</v>
      </c>
      <c r="V359" s="1998">
        <f>IF(Construction!$F$31=Construction!$R$22,Oeko!CI359,Oeko!EV359)</f>
        <v>0</v>
      </c>
      <c r="W359" s="1998">
        <f>IF(Construction!$F$31=Construction!$R$22,Oeko!CJ359,Oeko!EW359)</f>
        <v>0</v>
      </c>
      <c r="X359" s="1979">
        <f>IF(Construction!$F$31=Construction!$R$22,Oeko!CK359,Oeko!EX359)</f>
        <v>1</v>
      </c>
      <c r="Y359" s="1979">
        <f>IF(Construction!$F$31=Construction!$R$22,Oeko!CL359,Oeko!EY359)</f>
        <v>1</v>
      </c>
      <c r="Z359" s="1979">
        <f>IF(Construction!$F$31=Construction!$R$22,Oeko!CM359,Oeko!EZ359)</f>
        <v>1</v>
      </c>
      <c r="AA359" s="1979">
        <f>IF(Construction!$F$31=Construction!$R$22,Oeko!CN359,Oeko!FA359)</f>
        <v>1</v>
      </c>
      <c r="AB359" s="1979">
        <f>IF(Construction!$F$31=Construction!$R$22,Oeko!CO359,Oeko!FB359)</f>
        <v>1</v>
      </c>
      <c r="AC359" s="1998">
        <f>IF(Construction!$F$31=Construction!$R$22,Oeko!CP359,Oeko!FC359)</f>
        <v>0</v>
      </c>
      <c r="AD359" s="1998">
        <f>IF(Construction!$F$31=Construction!$R$22,Oeko!CQ359,Oeko!FD359)</f>
        <v>0</v>
      </c>
      <c r="AE359" s="1998">
        <f>IF(Construction!$F$31=Construction!$R$22,Oeko!CR359,Oeko!FE359)</f>
        <v>0</v>
      </c>
      <c r="AF359" s="1998">
        <f>IF(Construction!$F$31=Construction!$R$22,Oeko!CS359,Oeko!FF359)</f>
        <v>0</v>
      </c>
      <c r="AG359" s="1998">
        <f>IF(Construction!$F$31=Construction!$R$22,Oeko!CT359,Oeko!FG359)</f>
        <v>0</v>
      </c>
      <c r="AH359" s="1979">
        <f>IF(Construction!$F$31=Construction!$R$22,Oeko!CU359,Oeko!FH359)</f>
        <v>1</v>
      </c>
      <c r="AI359" s="1979">
        <f>IF(Construction!$F$31=Construction!$R$22,Oeko!CV359,Oeko!FI359)</f>
        <v>1</v>
      </c>
      <c r="AJ359" s="1979">
        <f>IF(Construction!$F$31=Construction!$R$22,Oeko!CW359,Oeko!FJ359)</f>
        <v>1</v>
      </c>
      <c r="AK359" s="1979">
        <f>IF(Construction!$F$31=Construction!$R$22,Oeko!CX359,Oeko!FK359)</f>
        <v>1</v>
      </c>
      <c r="AL359" s="1979">
        <f>IF(Construction!$F$31=Construction!$R$22,Oeko!CY359,Oeko!FL359)</f>
        <v>1</v>
      </c>
      <c r="AM359" s="1998">
        <f>IF(Construction!$F$31=Construction!$R$22,Oeko!CZ359,Oeko!FM359)</f>
        <v>1</v>
      </c>
      <c r="AN359" s="1998">
        <f>IF(Construction!$F$31=Construction!$R$22,Oeko!DA359,Oeko!FN359)</f>
        <v>1</v>
      </c>
      <c r="AO359" s="1998">
        <f>IF(Construction!$F$31=Construction!$R$22,Oeko!DB359,Oeko!FO359)</f>
        <v>1</v>
      </c>
      <c r="AP359" s="1998">
        <f>IF(Construction!$F$31=Construction!$R$22,Oeko!DC359,Oeko!FP359)</f>
        <v>1</v>
      </c>
      <c r="AQ359" s="1998">
        <f>IF(Construction!$F$31=Construction!$R$22,Oeko!DD359,Oeko!FQ359)</f>
        <v>1</v>
      </c>
      <c r="AR359" s="1979">
        <f>IF(Construction!$F$31=Construction!$R$22,Oeko!DE359,Oeko!FR359)</f>
        <v>8.0488597659215451</v>
      </c>
      <c r="AS359" s="1979">
        <f>IF(Construction!$F$31=Construction!$R$22,Oeko!DF359,Oeko!FS359)</f>
        <v>8.0488597659215451</v>
      </c>
      <c r="AT359" s="1979">
        <f>IF(Construction!$F$31=Construction!$R$22,Oeko!DG359,Oeko!FT359)</f>
        <v>8.0488597659215451</v>
      </c>
      <c r="AU359" s="1979">
        <f>IF(Construction!$F$31=Construction!$R$22,Oeko!DH359,Oeko!FU359)</f>
        <v>8.0488597659215451</v>
      </c>
      <c r="AV359" s="1979">
        <f>IF(Construction!$F$31=Construction!$R$22,Oeko!DI359,Oeko!FV359)</f>
        <v>8.0488597659215451</v>
      </c>
      <c r="AW359" s="1998">
        <f>IF(Construction!$F$31=Construction!$R$22,Oeko!DJ359,Oeko!FW359)</f>
        <v>8.0329061668367086</v>
      </c>
      <c r="AX359" s="1998">
        <f>IF(Construction!$F$31=Construction!$R$22,Oeko!DK359,Oeko!FX359)</f>
        <v>8.0329061668367086</v>
      </c>
      <c r="AY359" s="1998">
        <f>IF(Construction!$F$31=Construction!$R$22,Oeko!DL359,Oeko!FY359)</f>
        <v>8.0329061668367086</v>
      </c>
      <c r="AZ359" s="1998">
        <f>IF(Construction!$F$31=Construction!$R$22,Oeko!DM359,Oeko!FZ359)</f>
        <v>8.0329061668367086</v>
      </c>
      <c r="BA359" s="1998">
        <f>IF(Construction!$F$31=Construction!$R$22,Oeko!DN359,Oeko!GA359)</f>
        <v>8.0329061668367086</v>
      </c>
      <c r="BB359" s="1979">
        <f>IF(Construction!$F$31=Construction!$R$22,Oeko!DO359,Oeko!GB359)</f>
        <v>0.97975662301212196</v>
      </c>
      <c r="BC359" s="1979">
        <f>IF(Construction!$F$31=Construction!$R$22,Oeko!DP359,Oeko!GC359)</f>
        <v>0.97975662301212196</v>
      </c>
      <c r="BD359" s="1979">
        <f>IF(Construction!$F$31=Construction!$R$22,Oeko!DQ359,Oeko!GD359)</f>
        <v>0.97975662301212196</v>
      </c>
      <c r="BE359" s="1979">
        <f>IF(Construction!$F$31=Construction!$R$22,Oeko!DR359,Oeko!GE359)</f>
        <v>0.97975662301212196</v>
      </c>
      <c r="BF359" s="1979">
        <f>IF(Construction!$F$31=Construction!$R$22,Oeko!DS359,Oeko!GF359)</f>
        <v>0.97975662301212196</v>
      </c>
      <c r="BG359" s="1998">
        <f>IF(Construction!$F$31=Construction!$R$22,Oeko!DT359,Oeko!GG359)</f>
        <v>0.97614876347816082</v>
      </c>
      <c r="BH359" s="1998">
        <f>IF(Construction!$F$31=Construction!$R$22,Oeko!DU359,Oeko!GH359)</f>
        <v>0.97614876347816082</v>
      </c>
      <c r="BI359" s="1998">
        <f>IF(Construction!$F$31=Construction!$R$22,Oeko!DV359,Oeko!GI359)</f>
        <v>0.97614876347816082</v>
      </c>
      <c r="BJ359" s="1998">
        <f>IF(Construction!$F$31=Construction!$R$22,Oeko!DW359,Oeko!GJ359)</f>
        <v>0.97614876347816082</v>
      </c>
      <c r="BK359" s="2026">
        <f>IF(Construction!$F$31=Construction!$R$22,Oeko!DX359,Oeko!GK359)</f>
        <v>0.97614876347816082</v>
      </c>
      <c r="BN359" s="2022"/>
      <c r="BO359" s="2">
        <v>14</v>
      </c>
      <c r="BP359" s="2" t="str">
        <f>CONCATENATE($U$8," ",GV$8)</f>
        <v xml:space="preserve">Proportion de fenêtres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Proportion de fenêtres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Proportion de fenêtres </v>
      </c>
      <c r="D360" s="1979">
        <f>IF(Construction!$F$31=Construction!$R$22,Oeko!BQ360,Oeko!ED360)</f>
        <v>0</v>
      </c>
      <c r="E360" s="1979">
        <f>IF(Construction!$F$31=Construction!$R$22,Oeko!BR360,Oeko!EE360)</f>
        <v>0</v>
      </c>
      <c r="F360" s="1979">
        <f>IF(Construction!$F$31=Construction!$R$22,Oeko!BS360,Oeko!EF360)</f>
        <v>0</v>
      </c>
      <c r="G360" s="1979">
        <f>IF(Construction!$F$31=Construction!$R$22,Oeko!BT360,Oeko!EG360)</f>
        <v>0</v>
      </c>
      <c r="H360" s="1979">
        <f>IF(Construction!$F$31=Construction!$R$22,Oeko!BU360,Oeko!EH360)</f>
        <v>0</v>
      </c>
      <c r="I360" s="1998">
        <f>IF(Construction!$F$31=Construction!$R$22,Oeko!BV360,Oeko!EI360)</f>
        <v>0</v>
      </c>
      <c r="J360" s="1998">
        <f>IF(Construction!$F$31=Construction!$R$22,Oeko!BW360,Oeko!EJ360)</f>
        <v>0</v>
      </c>
      <c r="K360" s="1998">
        <f>IF(Construction!$F$31=Construction!$R$22,Oeko!BX360,Oeko!EK360)</f>
        <v>0</v>
      </c>
      <c r="L360" s="1998">
        <f>IF(Construction!$F$31=Construction!$R$22,Oeko!BY360,Oeko!EL360)</f>
        <v>0</v>
      </c>
      <c r="M360" s="1998">
        <f>IF(Construction!$F$31=Construction!$R$22,Oeko!BZ360,Oeko!EM360)</f>
        <v>0</v>
      </c>
      <c r="N360" s="1979">
        <f>IF(Construction!$F$31=Construction!$R$22,Oeko!CA360,Oeko!EN360)</f>
        <v>0</v>
      </c>
      <c r="O360" s="1979">
        <f>IF(Construction!$F$31=Construction!$R$22,Oeko!CB360,Oeko!EO360)</f>
        <v>0</v>
      </c>
      <c r="P360" s="1979">
        <f>IF(Construction!$F$31=Construction!$R$22,Oeko!CC360,Oeko!EP360)</f>
        <v>0</v>
      </c>
      <c r="Q360" s="1979">
        <f>IF(Construction!$F$31=Construction!$R$22,Oeko!CD360,Oeko!EQ360)</f>
        <v>0</v>
      </c>
      <c r="R360" s="1979">
        <f>IF(Construction!$F$31=Construction!$R$22,Oeko!CE360,Oeko!ER360)</f>
        <v>0</v>
      </c>
      <c r="S360" s="1998">
        <f>IF(Construction!$F$31=Construction!$R$22,Oeko!CF360,Oeko!ES360)</f>
        <v>0</v>
      </c>
      <c r="T360" s="1998">
        <f>IF(Construction!$F$31=Construction!$R$22,Oeko!CG360,Oeko!ET360)</f>
        <v>0</v>
      </c>
      <c r="U360" s="1998">
        <f>IF(Construction!$F$31=Construction!$R$22,Oeko!CH360,Oeko!EU360)</f>
        <v>0</v>
      </c>
      <c r="V360" s="1998">
        <f>IF(Construction!$F$31=Construction!$R$22,Oeko!CI360,Oeko!EV360)</f>
        <v>0</v>
      </c>
      <c r="W360" s="1998">
        <f>IF(Construction!$F$31=Construction!$R$22,Oeko!CJ360,Oeko!EW360)</f>
        <v>0</v>
      </c>
      <c r="X360" s="1979">
        <f>IF(Construction!$F$31=Construction!$R$22,Oeko!CK360,Oeko!EX360)</f>
        <v>1</v>
      </c>
      <c r="Y360" s="1979">
        <f>IF(Construction!$F$31=Construction!$R$22,Oeko!CL360,Oeko!EY360)</f>
        <v>1</v>
      </c>
      <c r="Z360" s="1979">
        <f>IF(Construction!$F$31=Construction!$R$22,Oeko!CM360,Oeko!EZ360)</f>
        <v>1</v>
      </c>
      <c r="AA360" s="1979">
        <f>IF(Construction!$F$31=Construction!$R$22,Oeko!CN360,Oeko!FA360)</f>
        <v>1</v>
      </c>
      <c r="AB360" s="1979">
        <f>IF(Construction!$F$31=Construction!$R$22,Oeko!CO360,Oeko!FB360)</f>
        <v>1</v>
      </c>
      <c r="AC360" s="1998">
        <f>IF(Construction!$F$31=Construction!$R$22,Oeko!CP360,Oeko!FC360)</f>
        <v>0</v>
      </c>
      <c r="AD360" s="1998">
        <f>IF(Construction!$F$31=Construction!$R$22,Oeko!CQ360,Oeko!FD360)</f>
        <v>0</v>
      </c>
      <c r="AE360" s="1998">
        <f>IF(Construction!$F$31=Construction!$R$22,Oeko!CR360,Oeko!FE360)</f>
        <v>0</v>
      </c>
      <c r="AF360" s="1998">
        <f>IF(Construction!$F$31=Construction!$R$22,Oeko!CS360,Oeko!FF360)</f>
        <v>0</v>
      </c>
      <c r="AG360" s="1998">
        <f>IF(Construction!$F$31=Construction!$R$22,Oeko!CT360,Oeko!FG360)</f>
        <v>0</v>
      </c>
      <c r="AH360" s="1979">
        <f>IF(Construction!$F$31=Construction!$R$22,Oeko!CU360,Oeko!FH360)</f>
        <v>1</v>
      </c>
      <c r="AI360" s="1979">
        <f>IF(Construction!$F$31=Construction!$R$22,Oeko!CV360,Oeko!FI360)</f>
        <v>1</v>
      </c>
      <c r="AJ360" s="1979">
        <f>IF(Construction!$F$31=Construction!$R$22,Oeko!CW360,Oeko!FJ360)</f>
        <v>1</v>
      </c>
      <c r="AK360" s="1979">
        <f>IF(Construction!$F$31=Construction!$R$22,Oeko!CX360,Oeko!FK360)</f>
        <v>1</v>
      </c>
      <c r="AL360" s="1979">
        <f>IF(Construction!$F$31=Construction!$R$22,Oeko!CY360,Oeko!FL360)</f>
        <v>1</v>
      </c>
      <c r="AM360" s="1998">
        <f>IF(Construction!$F$31=Construction!$R$22,Oeko!CZ360,Oeko!FM360)</f>
        <v>1</v>
      </c>
      <c r="AN360" s="1998">
        <f>IF(Construction!$F$31=Construction!$R$22,Oeko!DA360,Oeko!FN360)</f>
        <v>1</v>
      </c>
      <c r="AO360" s="1998">
        <f>IF(Construction!$F$31=Construction!$R$22,Oeko!DB360,Oeko!FO360)</f>
        <v>1</v>
      </c>
      <c r="AP360" s="1998">
        <f>IF(Construction!$F$31=Construction!$R$22,Oeko!DC360,Oeko!FP360)</f>
        <v>1</v>
      </c>
      <c r="AQ360" s="1998">
        <f>IF(Construction!$F$31=Construction!$R$22,Oeko!DD360,Oeko!FQ360)</f>
        <v>1</v>
      </c>
      <c r="AR360" s="1979">
        <f>IF(Construction!$F$31=Construction!$R$22,Oeko!DE360,Oeko!FR360)</f>
        <v>8.0488597659215451</v>
      </c>
      <c r="AS360" s="1979">
        <f>IF(Construction!$F$31=Construction!$R$22,Oeko!DF360,Oeko!FS360)</f>
        <v>8.0488597659215451</v>
      </c>
      <c r="AT360" s="1979">
        <f>IF(Construction!$F$31=Construction!$R$22,Oeko!DG360,Oeko!FT360)</f>
        <v>8.0488597659215451</v>
      </c>
      <c r="AU360" s="1979">
        <f>IF(Construction!$F$31=Construction!$R$22,Oeko!DH360,Oeko!FU360)</f>
        <v>8.0488597659215451</v>
      </c>
      <c r="AV360" s="1979">
        <f>IF(Construction!$F$31=Construction!$R$22,Oeko!DI360,Oeko!FV360)</f>
        <v>8.0488597659215451</v>
      </c>
      <c r="AW360" s="1998">
        <f>IF(Construction!$F$31=Construction!$R$22,Oeko!DJ360,Oeko!FW360)</f>
        <v>8.0329061668367086</v>
      </c>
      <c r="AX360" s="1998">
        <f>IF(Construction!$F$31=Construction!$R$22,Oeko!DK360,Oeko!FX360)</f>
        <v>8.0329061668367086</v>
      </c>
      <c r="AY360" s="1998">
        <f>IF(Construction!$F$31=Construction!$R$22,Oeko!DL360,Oeko!FY360)</f>
        <v>8.0329061668367086</v>
      </c>
      <c r="AZ360" s="1998">
        <f>IF(Construction!$F$31=Construction!$R$22,Oeko!DM360,Oeko!FZ360)</f>
        <v>8.0329061668367086</v>
      </c>
      <c r="BA360" s="1998">
        <f>IF(Construction!$F$31=Construction!$R$22,Oeko!DN360,Oeko!GA360)</f>
        <v>8.0329061668367086</v>
      </c>
      <c r="BB360" s="1979">
        <f>IF(Construction!$F$31=Construction!$R$22,Oeko!DO360,Oeko!GB360)</f>
        <v>0.97975662301212196</v>
      </c>
      <c r="BC360" s="1979">
        <f>IF(Construction!$F$31=Construction!$R$22,Oeko!DP360,Oeko!GC360)</f>
        <v>0.97975662301212196</v>
      </c>
      <c r="BD360" s="1979">
        <f>IF(Construction!$F$31=Construction!$R$22,Oeko!DQ360,Oeko!GD360)</f>
        <v>0.97975662301212196</v>
      </c>
      <c r="BE360" s="1979">
        <f>IF(Construction!$F$31=Construction!$R$22,Oeko!DR360,Oeko!GE360)</f>
        <v>0.97975662301212196</v>
      </c>
      <c r="BF360" s="1979">
        <f>IF(Construction!$F$31=Construction!$R$22,Oeko!DS360,Oeko!GF360)</f>
        <v>0.97975662301212196</v>
      </c>
      <c r="BG360" s="1998">
        <f>IF(Construction!$F$31=Construction!$R$22,Oeko!DT360,Oeko!GG360)</f>
        <v>0.97614876347816082</v>
      </c>
      <c r="BH360" s="1998">
        <f>IF(Construction!$F$31=Construction!$R$22,Oeko!DU360,Oeko!GH360)</f>
        <v>0.97614876347816082</v>
      </c>
      <c r="BI360" s="1998">
        <f>IF(Construction!$F$31=Construction!$R$22,Oeko!DV360,Oeko!GI360)</f>
        <v>0.97614876347816082</v>
      </c>
      <c r="BJ360" s="1998">
        <f>IF(Construction!$F$31=Construction!$R$22,Oeko!DW360,Oeko!GJ360)</f>
        <v>0.97614876347816082</v>
      </c>
      <c r="BK360" s="2026">
        <f>IF(Construction!$F$31=Construction!$R$22,Oeko!DX360,Oeko!GK360)</f>
        <v>0.97614876347816082</v>
      </c>
      <c r="BN360" s="2022"/>
      <c r="BO360" s="2">
        <v>15</v>
      </c>
      <c r="BP360" s="2" t="str">
        <f>CONCATENATE($U$8," ",GV$9)</f>
        <v xml:space="preserve">Proportion de fenêtres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Proportion de fenêtres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Proportion de fenêtres </v>
      </c>
      <c r="D361" s="1979">
        <f>IF(Construction!$F$31=Construction!$R$22,Oeko!BQ361,Oeko!ED361)</f>
        <v>1</v>
      </c>
      <c r="E361" s="1979">
        <f>IF(Construction!$F$31=Construction!$R$22,Oeko!BR361,Oeko!EE361)</f>
        <v>1</v>
      </c>
      <c r="F361" s="1979">
        <f>IF(Construction!$F$31=Construction!$R$22,Oeko!BS361,Oeko!EF361)</f>
        <v>1</v>
      </c>
      <c r="G361" s="1979">
        <f>IF(Construction!$F$31=Construction!$R$22,Oeko!BT361,Oeko!EG361)</f>
        <v>1</v>
      </c>
      <c r="H361" s="1979">
        <f>IF(Construction!$F$31=Construction!$R$22,Oeko!BU361,Oeko!EH361)</f>
        <v>1</v>
      </c>
      <c r="I361" s="1998">
        <f>IF(Construction!$F$31=Construction!$R$22,Oeko!BV361,Oeko!EI361)</f>
        <v>1</v>
      </c>
      <c r="J361" s="1998">
        <f>IF(Construction!$F$31=Construction!$R$22,Oeko!BW361,Oeko!EJ361)</f>
        <v>1</v>
      </c>
      <c r="K361" s="1998">
        <f>IF(Construction!$F$31=Construction!$R$22,Oeko!BX361,Oeko!EK361)</f>
        <v>1</v>
      </c>
      <c r="L361" s="1998">
        <f>IF(Construction!$F$31=Construction!$R$22,Oeko!BY361,Oeko!EL361)</f>
        <v>1</v>
      </c>
      <c r="M361" s="1998">
        <f>IF(Construction!$F$31=Construction!$R$22,Oeko!BZ361,Oeko!EM361)</f>
        <v>1</v>
      </c>
      <c r="N361" s="1979">
        <f>IF(Construction!$F$31=Construction!$R$22,Oeko!CA361,Oeko!EN361)</f>
        <v>1</v>
      </c>
      <c r="O361" s="1979">
        <f>IF(Construction!$F$31=Construction!$R$22,Oeko!CB361,Oeko!EO361)</f>
        <v>1</v>
      </c>
      <c r="P361" s="1979">
        <f>IF(Construction!$F$31=Construction!$R$22,Oeko!CC361,Oeko!EP361)</f>
        <v>1</v>
      </c>
      <c r="Q361" s="1979">
        <f>IF(Construction!$F$31=Construction!$R$22,Oeko!CD361,Oeko!EQ361)</f>
        <v>1</v>
      </c>
      <c r="R361" s="1979">
        <f>IF(Construction!$F$31=Construction!$R$22,Oeko!CE361,Oeko!ER361)</f>
        <v>1</v>
      </c>
      <c r="S361" s="1998">
        <f>IF(Construction!$F$31=Construction!$R$22,Oeko!CF361,Oeko!ES361)</f>
        <v>1</v>
      </c>
      <c r="T361" s="1998">
        <f>IF(Construction!$F$31=Construction!$R$22,Oeko!CG361,Oeko!ET361)</f>
        <v>1</v>
      </c>
      <c r="U361" s="1998">
        <f>IF(Construction!$F$31=Construction!$R$22,Oeko!CH361,Oeko!EU361)</f>
        <v>1</v>
      </c>
      <c r="V361" s="1998">
        <f>IF(Construction!$F$31=Construction!$R$22,Oeko!CI361,Oeko!EV361)</f>
        <v>1</v>
      </c>
      <c r="W361" s="1998">
        <f>IF(Construction!$F$31=Construction!$R$22,Oeko!CJ361,Oeko!EW361)</f>
        <v>1</v>
      </c>
      <c r="X361" s="1979">
        <f>IF(Construction!$F$31=Construction!$R$22,Oeko!CK361,Oeko!EX361)</f>
        <v>1</v>
      </c>
      <c r="Y361" s="1979">
        <f>IF(Construction!$F$31=Construction!$R$22,Oeko!CL361,Oeko!EY361)</f>
        <v>1</v>
      </c>
      <c r="Z361" s="1979">
        <f>IF(Construction!$F$31=Construction!$R$22,Oeko!CM361,Oeko!EZ361)</f>
        <v>1</v>
      </c>
      <c r="AA361" s="1979">
        <f>IF(Construction!$F$31=Construction!$R$22,Oeko!CN361,Oeko!FA361)</f>
        <v>1</v>
      </c>
      <c r="AB361" s="1979">
        <f>IF(Construction!$F$31=Construction!$R$22,Oeko!CO361,Oeko!FB361)</f>
        <v>1</v>
      </c>
      <c r="AC361" s="1998">
        <f>IF(Construction!$F$31=Construction!$R$22,Oeko!CP361,Oeko!FC361)</f>
        <v>1</v>
      </c>
      <c r="AD361" s="1998">
        <f>IF(Construction!$F$31=Construction!$R$22,Oeko!CQ361,Oeko!FD361)</f>
        <v>1</v>
      </c>
      <c r="AE361" s="1998">
        <f>IF(Construction!$F$31=Construction!$R$22,Oeko!CR361,Oeko!FE361)</f>
        <v>1</v>
      </c>
      <c r="AF361" s="1998">
        <f>IF(Construction!$F$31=Construction!$R$22,Oeko!CS361,Oeko!FF361)</f>
        <v>1</v>
      </c>
      <c r="AG361" s="1998">
        <f>IF(Construction!$F$31=Construction!$R$22,Oeko!CT361,Oeko!FG361)</f>
        <v>1</v>
      </c>
      <c r="AH361" s="1979">
        <f>IF(Construction!$F$31=Construction!$R$22,Oeko!CU361,Oeko!FH361)</f>
        <v>1</v>
      </c>
      <c r="AI361" s="1979">
        <f>IF(Construction!$F$31=Construction!$R$22,Oeko!CV361,Oeko!FI361)</f>
        <v>1</v>
      </c>
      <c r="AJ361" s="1979">
        <f>IF(Construction!$F$31=Construction!$R$22,Oeko!CW361,Oeko!FJ361)</f>
        <v>1</v>
      </c>
      <c r="AK361" s="1979">
        <f>IF(Construction!$F$31=Construction!$R$22,Oeko!CX361,Oeko!FK361)</f>
        <v>1</v>
      </c>
      <c r="AL361" s="1979">
        <f>IF(Construction!$F$31=Construction!$R$22,Oeko!CY361,Oeko!FL361)</f>
        <v>1</v>
      </c>
      <c r="AM361" s="1998">
        <f>IF(Construction!$F$31=Construction!$R$22,Oeko!CZ361,Oeko!FM361)</f>
        <v>1</v>
      </c>
      <c r="AN361" s="1998">
        <f>IF(Construction!$F$31=Construction!$R$22,Oeko!DA361,Oeko!FN361)</f>
        <v>1</v>
      </c>
      <c r="AO361" s="1998">
        <f>IF(Construction!$F$31=Construction!$R$22,Oeko!DB361,Oeko!FO361)</f>
        <v>1</v>
      </c>
      <c r="AP361" s="1998">
        <f>IF(Construction!$F$31=Construction!$R$22,Oeko!DC361,Oeko!FP361)</f>
        <v>1</v>
      </c>
      <c r="AQ361" s="1998">
        <f>IF(Construction!$F$31=Construction!$R$22,Oeko!DD361,Oeko!FQ361)</f>
        <v>1</v>
      </c>
      <c r="AR361" s="1979">
        <f>IF(Construction!$F$31=Construction!$R$22,Oeko!DE361,Oeko!FR361)</f>
        <v>8.0488597659215451</v>
      </c>
      <c r="AS361" s="1979">
        <f>IF(Construction!$F$31=Construction!$R$22,Oeko!DF361,Oeko!FS361)</f>
        <v>8.0488597659215451</v>
      </c>
      <c r="AT361" s="1979">
        <f>IF(Construction!$F$31=Construction!$R$22,Oeko!DG361,Oeko!FT361)</f>
        <v>8.0488597659215451</v>
      </c>
      <c r="AU361" s="1979">
        <f>IF(Construction!$F$31=Construction!$R$22,Oeko!DH361,Oeko!FU361)</f>
        <v>8.0488597659215451</v>
      </c>
      <c r="AV361" s="1979">
        <f>IF(Construction!$F$31=Construction!$R$22,Oeko!DI361,Oeko!FV361)</f>
        <v>8.0488597659215451</v>
      </c>
      <c r="AW361" s="1998">
        <f>IF(Construction!$F$31=Construction!$R$22,Oeko!DJ361,Oeko!FW361)</f>
        <v>8.0329061668367086</v>
      </c>
      <c r="AX361" s="1998">
        <f>IF(Construction!$F$31=Construction!$R$22,Oeko!DK361,Oeko!FX361)</f>
        <v>8.0329061668367086</v>
      </c>
      <c r="AY361" s="1998">
        <f>IF(Construction!$F$31=Construction!$R$22,Oeko!DL361,Oeko!FY361)</f>
        <v>8.0329061668367086</v>
      </c>
      <c r="AZ361" s="1998">
        <f>IF(Construction!$F$31=Construction!$R$22,Oeko!DM361,Oeko!FZ361)</f>
        <v>8.0329061668367086</v>
      </c>
      <c r="BA361" s="1998">
        <f>IF(Construction!$F$31=Construction!$R$22,Oeko!DN361,Oeko!GA361)</f>
        <v>8.0329061668367086</v>
      </c>
      <c r="BB361" s="1979">
        <f>IF(Construction!$F$31=Construction!$R$22,Oeko!DO361,Oeko!GB361)</f>
        <v>0.97975662301212196</v>
      </c>
      <c r="BC361" s="1979">
        <f>IF(Construction!$F$31=Construction!$R$22,Oeko!DP361,Oeko!GC361)</f>
        <v>0.97975662301212196</v>
      </c>
      <c r="BD361" s="1979">
        <f>IF(Construction!$F$31=Construction!$R$22,Oeko!DQ361,Oeko!GD361)</f>
        <v>0.97975662301212196</v>
      </c>
      <c r="BE361" s="1979">
        <f>IF(Construction!$F$31=Construction!$R$22,Oeko!DR361,Oeko!GE361)</f>
        <v>0.97975662301212196</v>
      </c>
      <c r="BF361" s="1979">
        <f>IF(Construction!$F$31=Construction!$R$22,Oeko!DS361,Oeko!GF361)</f>
        <v>0.97975662301212196</v>
      </c>
      <c r="BG361" s="1998">
        <f>IF(Construction!$F$31=Construction!$R$22,Oeko!DT361,Oeko!GG361)</f>
        <v>0.97614876347816082</v>
      </c>
      <c r="BH361" s="1998">
        <f>IF(Construction!$F$31=Construction!$R$22,Oeko!DU361,Oeko!GH361)</f>
        <v>0.97614876347816082</v>
      </c>
      <c r="BI361" s="1998">
        <f>IF(Construction!$F$31=Construction!$R$22,Oeko!DV361,Oeko!GI361)</f>
        <v>0.97614876347816082</v>
      </c>
      <c r="BJ361" s="1998">
        <f>IF(Construction!$F$31=Construction!$R$22,Oeko!DW361,Oeko!GJ361)</f>
        <v>0.97614876347816082</v>
      </c>
      <c r="BK361" s="2026">
        <f>IF(Construction!$F$31=Construction!$R$22,Oeko!DX361,Oeko!GK361)</f>
        <v>0.97614876347816082</v>
      </c>
      <c r="BN361" s="2022"/>
      <c r="BO361" s="2">
        <v>16</v>
      </c>
      <c r="BP361" s="2" t="str">
        <f>CONCATENATE($U$8," ",GV$10)</f>
        <v xml:space="preserve">Proportion de fenêtres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Proportion de fenêtres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Proportion de fenêtres </v>
      </c>
      <c r="D362" s="1979">
        <f>IF(Construction!$F$31=Construction!$R$22,Oeko!BQ362,Oeko!ED362)</f>
        <v>1</v>
      </c>
      <c r="E362" s="1979">
        <f>IF(Construction!$F$31=Construction!$R$22,Oeko!BR362,Oeko!EE362)</f>
        <v>1</v>
      </c>
      <c r="F362" s="1979">
        <f>IF(Construction!$F$31=Construction!$R$22,Oeko!BS362,Oeko!EF362)</f>
        <v>1</v>
      </c>
      <c r="G362" s="1979">
        <f>IF(Construction!$F$31=Construction!$R$22,Oeko!BT362,Oeko!EG362)</f>
        <v>1</v>
      </c>
      <c r="H362" s="1979">
        <f>IF(Construction!$F$31=Construction!$R$22,Oeko!BU362,Oeko!EH362)</f>
        <v>1</v>
      </c>
      <c r="I362" s="1998">
        <f>IF(Construction!$F$31=Construction!$R$22,Oeko!BV362,Oeko!EI362)</f>
        <v>1</v>
      </c>
      <c r="J362" s="1998">
        <f>IF(Construction!$F$31=Construction!$R$22,Oeko!BW362,Oeko!EJ362)</f>
        <v>1</v>
      </c>
      <c r="K362" s="1998">
        <f>IF(Construction!$F$31=Construction!$R$22,Oeko!BX362,Oeko!EK362)</f>
        <v>1</v>
      </c>
      <c r="L362" s="1998">
        <f>IF(Construction!$F$31=Construction!$R$22,Oeko!BY362,Oeko!EL362)</f>
        <v>1</v>
      </c>
      <c r="M362" s="1998">
        <f>IF(Construction!$F$31=Construction!$R$22,Oeko!BZ362,Oeko!EM362)</f>
        <v>1</v>
      </c>
      <c r="N362" s="1979">
        <f>IF(Construction!$F$31=Construction!$R$22,Oeko!CA362,Oeko!EN362)</f>
        <v>1</v>
      </c>
      <c r="O362" s="1979">
        <f>IF(Construction!$F$31=Construction!$R$22,Oeko!CB362,Oeko!EO362)</f>
        <v>1</v>
      </c>
      <c r="P362" s="1979">
        <f>IF(Construction!$F$31=Construction!$R$22,Oeko!CC362,Oeko!EP362)</f>
        <v>1</v>
      </c>
      <c r="Q362" s="1979">
        <f>IF(Construction!$F$31=Construction!$R$22,Oeko!CD362,Oeko!EQ362)</f>
        <v>1</v>
      </c>
      <c r="R362" s="1979">
        <f>IF(Construction!$F$31=Construction!$R$22,Oeko!CE362,Oeko!ER362)</f>
        <v>1</v>
      </c>
      <c r="S362" s="1998">
        <f>IF(Construction!$F$31=Construction!$R$22,Oeko!CF362,Oeko!ES362)</f>
        <v>1</v>
      </c>
      <c r="T362" s="1998">
        <f>IF(Construction!$F$31=Construction!$R$22,Oeko!CG362,Oeko!ET362)</f>
        <v>1</v>
      </c>
      <c r="U362" s="1998">
        <f>IF(Construction!$F$31=Construction!$R$22,Oeko!CH362,Oeko!EU362)</f>
        <v>1</v>
      </c>
      <c r="V362" s="1998">
        <f>IF(Construction!$F$31=Construction!$R$22,Oeko!CI362,Oeko!EV362)</f>
        <v>1</v>
      </c>
      <c r="W362" s="1998">
        <f>IF(Construction!$F$31=Construction!$R$22,Oeko!CJ362,Oeko!EW362)</f>
        <v>1</v>
      </c>
      <c r="X362" s="1979">
        <f>IF(Construction!$F$31=Construction!$R$22,Oeko!CK362,Oeko!EX362)</f>
        <v>1</v>
      </c>
      <c r="Y362" s="1979">
        <f>IF(Construction!$F$31=Construction!$R$22,Oeko!CL362,Oeko!EY362)</f>
        <v>1</v>
      </c>
      <c r="Z362" s="1979">
        <f>IF(Construction!$F$31=Construction!$R$22,Oeko!CM362,Oeko!EZ362)</f>
        <v>1</v>
      </c>
      <c r="AA362" s="1979">
        <f>IF(Construction!$F$31=Construction!$R$22,Oeko!CN362,Oeko!FA362)</f>
        <v>1</v>
      </c>
      <c r="AB362" s="1979">
        <f>IF(Construction!$F$31=Construction!$R$22,Oeko!CO362,Oeko!FB362)</f>
        <v>1</v>
      </c>
      <c r="AC362" s="1998">
        <f>IF(Construction!$F$31=Construction!$R$22,Oeko!CP362,Oeko!FC362)</f>
        <v>1</v>
      </c>
      <c r="AD362" s="1998">
        <f>IF(Construction!$F$31=Construction!$R$22,Oeko!CQ362,Oeko!FD362)</f>
        <v>1</v>
      </c>
      <c r="AE362" s="1998">
        <f>IF(Construction!$F$31=Construction!$R$22,Oeko!CR362,Oeko!FE362)</f>
        <v>1</v>
      </c>
      <c r="AF362" s="1998">
        <f>IF(Construction!$F$31=Construction!$R$22,Oeko!CS362,Oeko!FF362)</f>
        <v>1</v>
      </c>
      <c r="AG362" s="1998">
        <f>IF(Construction!$F$31=Construction!$R$22,Oeko!CT362,Oeko!FG362)</f>
        <v>1</v>
      </c>
      <c r="AH362" s="1979">
        <f>IF(Construction!$F$31=Construction!$R$22,Oeko!CU362,Oeko!FH362)</f>
        <v>1</v>
      </c>
      <c r="AI362" s="1979">
        <f>IF(Construction!$F$31=Construction!$R$22,Oeko!CV362,Oeko!FI362)</f>
        <v>1</v>
      </c>
      <c r="AJ362" s="1979">
        <f>IF(Construction!$F$31=Construction!$R$22,Oeko!CW362,Oeko!FJ362)</f>
        <v>1</v>
      </c>
      <c r="AK362" s="1979">
        <f>IF(Construction!$F$31=Construction!$R$22,Oeko!CX362,Oeko!FK362)</f>
        <v>1</v>
      </c>
      <c r="AL362" s="1979">
        <f>IF(Construction!$F$31=Construction!$R$22,Oeko!CY362,Oeko!FL362)</f>
        <v>1</v>
      </c>
      <c r="AM362" s="1998">
        <f>IF(Construction!$F$31=Construction!$R$22,Oeko!CZ362,Oeko!FM362)</f>
        <v>1</v>
      </c>
      <c r="AN362" s="1998">
        <f>IF(Construction!$F$31=Construction!$R$22,Oeko!DA362,Oeko!FN362)</f>
        <v>1</v>
      </c>
      <c r="AO362" s="1998">
        <f>IF(Construction!$F$31=Construction!$R$22,Oeko!DB362,Oeko!FO362)</f>
        <v>1</v>
      </c>
      <c r="AP362" s="1998">
        <f>IF(Construction!$F$31=Construction!$R$22,Oeko!DC362,Oeko!FP362)</f>
        <v>1</v>
      </c>
      <c r="AQ362" s="1998">
        <f>IF(Construction!$F$31=Construction!$R$22,Oeko!DD362,Oeko!FQ362)</f>
        <v>1</v>
      </c>
      <c r="AR362" s="1979">
        <f>IF(Construction!$F$31=Construction!$R$22,Oeko!DE362,Oeko!FR362)</f>
        <v>8.0488597659215451</v>
      </c>
      <c r="AS362" s="1979">
        <f>IF(Construction!$F$31=Construction!$R$22,Oeko!DF362,Oeko!FS362)</f>
        <v>8.0488597659215451</v>
      </c>
      <c r="AT362" s="1979">
        <f>IF(Construction!$F$31=Construction!$R$22,Oeko!DG362,Oeko!FT362)</f>
        <v>8.0488597659215451</v>
      </c>
      <c r="AU362" s="1979">
        <f>IF(Construction!$F$31=Construction!$R$22,Oeko!DH362,Oeko!FU362)</f>
        <v>8.0488597659215451</v>
      </c>
      <c r="AV362" s="1979">
        <f>IF(Construction!$F$31=Construction!$R$22,Oeko!DI362,Oeko!FV362)</f>
        <v>8.0488597659215451</v>
      </c>
      <c r="AW362" s="1998">
        <f>IF(Construction!$F$31=Construction!$R$22,Oeko!DJ362,Oeko!FW362)</f>
        <v>8.0329061668367086</v>
      </c>
      <c r="AX362" s="1998">
        <f>IF(Construction!$F$31=Construction!$R$22,Oeko!DK362,Oeko!FX362)</f>
        <v>8.0329061668367086</v>
      </c>
      <c r="AY362" s="1998">
        <f>IF(Construction!$F$31=Construction!$R$22,Oeko!DL362,Oeko!FY362)</f>
        <v>8.0329061668367086</v>
      </c>
      <c r="AZ362" s="1998">
        <f>IF(Construction!$F$31=Construction!$R$22,Oeko!DM362,Oeko!FZ362)</f>
        <v>8.0329061668367086</v>
      </c>
      <c r="BA362" s="1998">
        <f>IF(Construction!$F$31=Construction!$R$22,Oeko!DN362,Oeko!GA362)</f>
        <v>8.0329061668367086</v>
      </c>
      <c r="BB362" s="1979">
        <f>IF(Construction!$F$31=Construction!$R$22,Oeko!DO362,Oeko!GB362)</f>
        <v>0.97975662301212196</v>
      </c>
      <c r="BC362" s="1979">
        <f>IF(Construction!$F$31=Construction!$R$22,Oeko!DP362,Oeko!GC362)</f>
        <v>0.97975662301212196</v>
      </c>
      <c r="BD362" s="1979">
        <f>IF(Construction!$F$31=Construction!$R$22,Oeko!DQ362,Oeko!GD362)</f>
        <v>0.97975662301212196</v>
      </c>
      <c r="BE362" s="1979">
        <f>IF(Construction!$F$31=Construction!$R$22,Oeko!DR362,Oeko!GE362)</f>
        <v>0.97975662301212196</v>
      </c>
      <c r="BF362" s="1979">
        <f>IF(Construction!$F$31=Construction!$R$22,Oeko!DS362,Oeko!GF362)</f>
        <v>0.97975662301212196</v>
      </c>
      <c r="BG362" s="1998">
        <f>IF(Construction!$F$31=Construction!$R$22,Oeko!DT362,Oeko!GG362)</f>
        <v>0.97614876347816082</v>
      </c>
      <c r="BH362" s="1998">
        <f>IF(Construction!$F$31=Construction!$R$22,Oeko!DU362,Oeko!GH362)</f>
        <v>0.97614876347816082</v>
      </c>
      <c r="BI362" s="1998">
        <f>IF(Construction!$F$31=Construction!$R$22,Oeko!DV362,Oeko!GI362)</f>
        <v>0.97614876347816082</v>
      </c>
      <c r="BJ362" s="1998">
        <f>IF(Construction!$F$31=Construction!$R$22,Oeko!DW362,Oeko!GJ362)</f>
        <v>0.97614876347816082</v>
      </c>
      <c r="BK362" s="2026">
        <f>IF(Construction!$F$31=Construction!$R$22,Oeko!DX362,Oeko!GK362)</f>
        <v>0.97614876347816082</v>
      </c>
      <c r="BN362" s="2022"/>
      <c r="BO362" s="2">
        <v>17</v>
      </c>
      <c r="BP362" s="2" t="str">
        <f>CONCATENATE($U$8," ",GV$11)</f>
        <v xml:space="preserve">Proportion de fenêtres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Proportion de fenêtres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Proportion de fenêtres </v>
      </c>
      <c r="D363" s="1979">
        <f>IF(Construction!$F$31=Construction!$R$22,Oeko!BQ363,Oeko!ED363)</f>
        <v>1</v>
      </c>
      <c r="E363" s="1979">
        <f>IF(Construction!$F$31=Construction!$R$22,Oeko!BR363,Oeko!EE363)</f>
        <v>1</v>
      </c>
      <c r="F363" s="1979">
        <f>IF(Construction!$F$31=Construction!$R$22,Oeko!BS363,Oeko!EF363)</f>
        <v>1</v>
      </c>
      <c r="G363" s="1979">
        <f>IF(Construction!$F$31=Construction!$R$22,Oeko!BT363,Oeko!EG363)</f>
        <v>1</v>
      </c>
      <c r="H363" s="1979">
        <f>IF(Construction!$F$31=Construction!$R$22,Oeko!BU363,Oeko!EH363)</f>
        <v>1</v>
      </c>
      <c r="I363" s="1998">
        <f>IF(Construction!$F$31=Construction!$R$22,Oeko!BV363,Oeko!EI363)</f>
        <v>1</v>
      </c>
      <c r="J363" s="1998">
        <f>IF(Construction!$F$31=Construction!$R$22,Oeko!BW363,Oeko!EJ363)</f>
        <v>1</v>
      </c>
      <c r="K363" s="1998">
        <f>IF(Construction!$F$31=Construction!$R$22,Oeko!BX363,Oeko!EK363)</f>
        <v>1</v>
      </c>
      <c r="L363" s="1998">
        <f>IF(Construction!$F$31=Construction!$R$22,Oeko!BY363,Oeko!EL363)</f>
        <v>1</v>
      </c>
      <c r="M363" s="1998">
        <f>IF(Construction!$F$31=Construction!$R$22,Oeko!BZ363,Oeko!EM363)</f>
        <v>1</v>
      </c>
      <c r="N363" s="1979">
        <f>IF(Construction!$F$31=Construction!$R$22,Oeko!CA363,Oeko!EN363)</f>
        <v>1</v>
      </c>
      <c r="O363" s="1979">
        <f>IF(Construction!$F$31=Construction!$R$22,Oeko!CB363,Oeko!EO363)</f>
        <v>1</v>
      </c>
      <c r="P363" s="1979">
        <f>IF(Construction!$F$31=Construction!$R$22,Oeko!CC363,Oeko!EP363)</f>
        <v>1</v>
      </c>
      <c r="Q363" s="1979">
        <f>IF(Construction!$F$31=Construction!$R$22,Oeko!CD363,Oeko!EQ363)</f>
        <v>1</v>
      </c>
      <c r="R363" s="1979">
        <f>IF(Construction!$F$31=Construction!$R$22,Oeko!CE363,Oeko!ER363)</f>
        <v>1</v>
      </c>
      <c r="S363" s="1998">
        <f>IF(Construction!$F$31=Construction!$R$22,Oeko!CF363,Oeko!ES363)</f>
        <v>1</v>
      </c>
      <c r="T363" s="1998">
        <f>IF(Construction!$F$31=Construction!$R$22,Oeko!CG363,Oeko!ET363)</f>
        <v>1</v>
      </c>
      <c r="U363" s="1998">
        <f>IF(Construction!$F$31=Construction!$R$22,Oeko!CH363,Oeko!EU363)</f>
        <v>1</v>
      </c>
      <c r="V363" s="1998">
        <f>IF(Construction!$F$31=Construction!$R$22,Oeko!CI363,Oeko!EV363)</f>
        <v>1</v>
      </c>
      <c r="W363" s="1998">
        <f>IF(Construction!$F$31=Construction!$R$22,Oeko!CJ363,Oeko!EW363)</f>
        <v>1</v>
      </c>
      <c r="X363" s="1979">
        <f>IF(Construction!$F$31=Construction!$R$22,Oeko!CK363,Oeko!EX363)</f>
        <v>1</v>
      </c>
      <c r="Y363" s="1979">
        <f>IF(Construction!$F$31=Construction!$R$22,Oeko!CL363,Oeko!EY363)</f>
        <v>1</v>
      </c>
      <c r="Z363" s="1979">
        <f>IF(Construction!$F$31=Construction!$R$22,Oeko!CM363,Oeko!EZ363)</f>
        <v>1</v>
      </c>
      <c r="AA363" s="1979">
        <f>IF(Construction!$F$31=Construction!$R$22,Oeko!CN363,Oeko!FA363)</f>
        <v>1</v>
      </c>
      <c r="AB363" s="1979">
        <f>IF(Construction!$F$31=Construction!$R$22,Oeko!CO363,Oeko!FB363)</f>
        <v>1</v>
      </c>
      <c r="AC363" s="1998">
        <f>IF(Construction!$F$31=Construction!$R$22,Oeko!CP363,Oeko!FC363)</f>
        <v>1</v>
      </c>
      <c r="AD363" s="1998">
        <f>IF(Construction!$F$31=Construction!$R$22,Oeko!CQ363,Oeko!FD363)</f>
        <v>1</v>
      </c>
      <c r="AE363" s="1998">
        <f>IF(Construction!$F$31=Construction!$R$22,Oeko!CR363,Oeko!FE363)</f>
        <v>1</v>
      </c>
      <c r="AF363" s="1998">
        <f>IF(Construction!$F$31=Construction!$R$22,Oeko!CS363,Oeko!FF363)</f>
        <v>1</v>
      </c>
      <c r="AG363" s="1998">
        <f>IF(Construction!$F$31=Construction!$R$22,Oeko!CT363,Oeko!FG363)</f>
        <v>1</v>
      </c>
      <c r="AH363" s="1979">
        <f>IF(Construction!$F$31=Construction!$R$22,Oeko!CU363,Oeko!FH363)</f>
        <v>1</v>
      </c>
      <c r="AI363" s="1979">
        <f>IF(Construction!$F$31=Construction!$R$22,Oeko!CV363,Oeko!FI363)</f>
        <v>1</v>
      </c>
      <c r="AJ363" s="1979">
        <f>IF(Construction!$F$31=Construction!$R$22,Oeko!CW363,Oeko!FJ363)</f>
        <v>1</v>
      </c>
      <c r="AK363" s="1979">
        <f>IF(Construction!$F$31=Construction!$R$22,Oeko!CX363,Oeko!FK363)</f>
        <v>1</v>
      </c>
      <c r="AL363" s="1979">
        <f>IF(Construction!$F$31=Construction!$R$22,Oeko!CY363,Oeko!FL363)</f>
        <v>1</v>
      </c>
      <c r="AM363" s="1998">
        <f>IF(Construction!$F$31=Construction!$R$22,Oeko!CZ363,Oeko!FM363)</f>
        <v>1</v>
      </c>
      <c r="AN363" s="1998">
        <f>IF(Construction!$F$31=Construction!$R$22,Oeko!DA363,Oeko!FN363)</f>
        <v>1</v>
      </c>
      <c r="AO363" s="1998">
        <f>IF(Construction!$F$31=Construction!$R$22,Oeko!DB363,Oeko!FO363)</f>
        <v>1</v>
      </c>
      <c r="AP363" s="1998">
        <f>IF(Construction!$F$31=Construction!$R$22,Oeko!DC363,Oeko!FP363)</f>
        <v>1</v>
      </c>
      <c r="AQ363" s="1998">
        <f>IF(Construction!$F$31=Construction!$R$22,Oeko!DD363,Oeko!FQ363)</f>
        <v>1</v>
      </c>
      <c r="AR363" s="1979">
        <f>IF(Construction!$F$31=Construction!$R$22,Oeko!DE363,Oeko!FR363)</f>
        <v>8.0488597659215451</v>
      </c>
      <c r="AS363" s="1979">
        <f>IF(Construction!$F$31=Construction!$R$22,Oeko!DF363,Oeko!FS363)</f>
        <v>8.0488597659215451</v>
      </c>
      <c r="AT363" s="1979">
        <f>IF(Construction!$F$31=Construction!$R$22,Oeko!DG363,Oeko!FT363)</f>
        <v>8.0488597659215451</v>
      </c>
      <c r="AU363" s="1979">
        <f>IF(Construction!$F$31=Construction!$R$22,Oeko!DH363,Oeko!FU363)</f>
        <v>8.0488597659215451</v>
      </c>
      <c r="AV363" s="1979">
        <f>IF(Construction!$F$31=Construction!$R$22,Oeko!DI363,Oeko!FV363)</f>
        <v>8.0488597659215451</v>
      </c>
      <c r="AW363" s="1998">
        <f>IF(Construction!$F$31=Construction!$R$22,Oeko!DJ363,Oeko!FW363)</f>
        <v>8.0329061668367086</v>
      </c>
      <c r="AX363" s="1998">
        <f>IF(Construction!$F$31=Construction!$R$22,Oeko!DK363,Oeko!FX363)</f>
        <v>8.0329061668367086</v>
      </c>
      <c r="AY363" s="1998">
        <f>IF(Construction!$F$31=Construction!$R$22,Oeko!DL363,Oeko!FY363)</f>
        <v>8.0329061668367086</v>
      </c>
      <c r="AZ363" s="1998">
        <f>IF(Construction!$F$31=Construction!$R$22,Oeko!DM363,Oeko!FZ363)</f>
        <v>8.0329061668367086</v>
      </c>
      <c r="BA363" s="1998">
        <f>IF(Construction!$F$31=Construction!$R$22,Oeko!DN363,Oeko!GA363)</f>
        <v>8.0329061668367086</v>
      </c>
      <c r="BB363" s="1979">
        <f>IF(Construction!$F$31=Construction!$R$22,Oeko!DO363,Oeko!GB363)</f>
        <v>0.97975662301212196</v>
      </c>
      <c r="BC363" s="1979">
        <f>IF(Construction!$F$31=Construction!$R$22,Oeko!DP363,Oeko!GC363)</f>
        <v>0.97975662301212196</v>
      </c>
      <c r="BD363" s="1979">
        <f>IF(Construction!$F$31=Construction!$R$22,Oeko!DQ363,Oeko!GD363)</f>
        <v>0.97975662301212196</v>
      </c>
      <c r="BE363" s="1979">
        <f>IF(Construction!$F$31=Construction!$R$22,Oeko!DR363,Oeko!GE363)</f>
        <v>0.97975662301212196</v>
      </c>
      <c r="BF363" s="1979">
        <f>IF(Construction!$F$31=Construction!$R$22,Oeko!DS363,Oeko!GF363)</f>
        <v>0.97975662301212196</v>
      </c>
      <c r="BG363" s="1998">
        <f>IF(Construction!$F$31=Construction!$R$22,Oeko!DT363,Oeko!GG363)</f>
        <v>0.97614876347816082</v>
      </c>
      <c r="BH363" s="1998">
        <f>IF(Construction!$F$31=Construction!$R$22,Oeko!DU363,Oeko!GH363)</f>
        <v>0.97614876347816082</v>
      </c>
      <c r="BI363" s="1998">
        <f>IF(Construction!$F$31=Construction!$R$22,Oeko!DV363,Oeko!GI363)</f>
        <v>0.97614876347816082</v>
      </c>
      <c r="BJ363" s="1998">
        <f>IF(Construction!$F$31=Construction!$R$22,Oeko!DW363,Oeko!GJ363)</f>
        <v>0.97614876347816082</v>
      </c>
      <c r="BK363" s="2026">
        <f>IF(Construction!$F$31=Construction!$R$22,Oeko!DX363,Oeko!GK363)</f>
        <v>0.97614876347816082</v>
      </c>
      <c r="BN363" s="2022"/>
      <c r="BO363" s="2">
        <v>18</v>
      </c>
      <c r="BP363" s="2" t="str">
        <f>CONCATENATE($U$8," ",GV$12)</f>
        <v xml:space="preserve">Proportion de fenêtres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Proportion de fenêtres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Proportion de fenêtres </v>
      </c>
      <c r="D364" s="1979">
        <f>IF(Construction!$F$31=Construction!$R$22,Oeko!BQ364,Oeko!ED364)</f>
        <v>1</v>
      </c>
      <c r="E364" s="1979">
        <f>IF(Construction!$F$31=Construction!$R$22,Oeko!BR364,Oeko!EE364)</f>
        <v>1</v>
      </c>
      <c r="F364" s="1979">
        <f>IF(Construction!$F$31=Construction!$R$22,Oeko!BS364,Oeko!EF364)</f>
        <v>1</v>
      </c>
      <c r="G364" s="1979">
        <f>IF(Construction!$F$31=Construction!$R$22,Oeko!BT364,Oeko!EG364)</f>
        <v>1</v>
      </c>
      <c r="H364" s="1979">
        <f>IF(Construction!$F$31=Construction!$R$22,Oeko!BU364,Oeko!EH364)</f>
        <v>1</v>
      </c>
      <c r="I364" s="1998">
        <f>IF(Construction!$F$31=Construction!$R$22,Oeko!BV364,Oeko!EI364)</f>
        <v>1</v>
      </c>
      <c r="J364" s="1998">
        <f>IF(Construction!$F$31=Construction!$R$22,Oeko!BW364,Oeko!EJ364)</f>
        <v>1</v>
      </c>
      <c r="K364" s="1998">
        <f>IF(Construction!$F$31=Construction!$R$22,Oeko!BX364,Oeko!EK364)</f>
        <v>1</v>
      </c>
      <c r="L364" s="1998">
        <f>IF(Construction!$F$31=Construction!$R$22,Oeko!BY364,Oeko!EL364)</f>
        <v>1</v>
      </c>
      <c r="M364" s="1998">
        <f>IF(Construction!$F$31=Construction!$R$22,Oeko!BZ364,Oeko!EM364)</f>
        <v>1</v>
      </c>
      <c r="N364" s="1979">
        <f>IF(Construction!$F$31=Construction!$R$22,Oeko!CA364,Oeko!EN364)</f>
        <v>1</v>
      </c>
      <c r="O364" s="1979">
        <f>IF(Construction!$F$31=Construction!$R$22,Oeko!CB364,Oeko!EO364)</f>
        <v>1</v>
      </c>
      <c r="P364" s="1979">
        <f>IF(Construction!$F$31=Construction!$R$22,Oeko!CC364,Oeko!EP364)</f>
        <v>1</v>
      </c>
      <c r="Q364" s="1979">
        <f>IF(Construction!$F$31=Construction!$R$22,Oeko!CD364,Oeko!EQ364)</f>
        <v>1</v>
      </c>
      <c r="R364" s="1979">
        <f>IF(Construction!$F$31=Construction!$R$22,Oeko!CE364,Oeko!ER364)</f>
        <v>1</v>
      </c>
      <c r="S364" s="1998">
        <f>IF(Construction!$F$31=Construction!$R$22,Oeko!CF364,Oeko!ES364)</f>
        <v>1</v>
      </c>
      <c r="T364" s="1998">
        <f>IF(Construction!$F$31=Construction!$R$22,Oeko!CG364,Oeko!ET364)</f>
        <v>1</v>
      </c>
      <c r="U364" s="1998">
        <f>IF(Construction!$F$31=Construction!$R$22,Oeko!CH364,Oeko!EU364)</f>
        <v>1</v>
      </c>
      <c r="V364" s="1998">
        <f>IF(Construction!$F$31=Construction!$R$22,Oeko!CI364,Oeko!EV364)</f>
        <v>1</v>
      </c>
      <c r="W364" s="1998">
        <f>IF(Construction!$F$31=Construction!$R$22,Oeko!CJ364,Oeko!EW364)</f>
        <v>1</v>
      </c>
      <c r="X364" s="1979">
        <f>IF(Construction!$F$31=Construction!$R$22,Oeko!CK364,Oeko!EX364)</f>
        <v>1</v>
      </c>
      <c r="Y364" s="1979">
        <f>IF(Construction!$F$31=Construction!$R$22,Oeko!CL364,Oeko!EY364)</f>
        <v>1</v>
      </c>
      <c r="Z364" s="1979">
        <f>IF(Construction!$F$31=Construction!$R$22,Oeko!CM364,Oeko!EZ364)</f>
        <v>1</v>
      </c>
      <c r="AA364" s="1979">
        <f>IF(Construction!$F$31=Construction!$R$22,Oeko!CN364,Oeko!FA364)</f>
        <v>1</v>
      </c>
      <c r="AB364" s="1979">
        <f>IF(Construction!$F$31=Construction!$R$22,Oeko!CO364,Oeko!FB364)</f>
        <v>1</v>
      </c>
      <c r="AC364" s="1998">
        <f>IF(Construction!$F$31=Construction!$R$22,Oeko!CP364,Oeko!FC364)</f>
        <v>1</v>
      </c>
      <c r="AD364" s="1998">
        <f>IF(Construction!$F$31=Construction!$R$22,Oeko!CQ364,Oeko!FD364)</f>
        <v>1</v>
      </c>
      <c r="AE364" s="1998">
        <f>IF(Construction!$F$31=Construction!$R$22,Oeko!CR364,Oeko!FE364)</f>
        <v>1</v>
      </c>
      <c r="AF364" s="1998">
        <f>IF(Construction!$F$31=Construction!$R$22,Oeko!CS364,Oeko!FF364)</f>
        <v>1</v>
      </c>
      <c r="AG364" s="1998">
        <f>IF(Construction!$F$31=Construction!$R$22,Oeko!CT364,Oeko!FG364)</f>
        <v>1</v>
      </c>
      <c r="AH364" s="1979">
        <f>IF(Construction!$F$31=Construction!$R$22,Oeko!CU364,Oeko!FH364)</f>
        <v>1</v>
      </c>
      <c r="AI364" s="1979">
        <f>IF(Construction!$F$31=Construction!$R$22,Oeko!CV364,Oeko!FI364)</f>
        <v>1</v>
      </c>
      <c r="AJ364" s="1979">
        <f>IF(Construction!$F$31=Construction!$R$22,Oeko!CW364,Oeko!FJ364)</f>
        <v>1</v>
      </c>
      <c r="AK364" s="1979">
        <f>IF(Construction!$F$31=Construction!$R$22,Oeko!CX364,Oeko!FK364)</f>
        <v>1</v>
      </c>
      <c r="AL364" s="1979">
        <f>IF(Construction!$F$31=Construction!$R$22,Oeko!CY364,Oeko!FL364)</f>
        <v>1</v>
      </c>
      <c r="AM364" s="1998">
        <f>IF(Construction!$F$31=Construction!$R$22,Oeko!CZ364,Oeko!FM364)</f>
        <v>1</v>
      </c>
      <c r="AN364" s="1998">
        <f>IF(Construction!$F$31=Construction!$R$22,Oeko!DA364,Oeko!FN364)</f>
        <v>1</v>
      </c>
      <c r="AO364" s="1998">
        <f>IF(Construction!$F$31=Construction!$R$22,Oeko!DB364,Oeko!FO364)</f>
        <v>1</v>
      </c>
      <c r="AP364" s="1998">
        <f>IF(Construction!$F$31=Construction!$R$22,Oeko!DC364,Oeko!FP364)</f>
        <v>1</v>
      </c>
      <c r="AQ364" s="1998">
        <f>IF(Construction!$F$31=Construction!$R$22,Oeko!DD364,Oeko!FQ364)</f>
        <v>1</v>
      </c>
      <c r="AR364" s="1979">
        <f>IF(Construction!$F$31=Construction!$R$22,Oeko!DE364,Oeko!FR364)</f>
        <v>8.0488597659215451</v>
      </c>
      <c r="AS364" s="1979">
        <f>IF(Construction!$F$31=Construction!$R$22,Oeko!DF364,Oeko!FS364)</f>
        <v>8.0488597659215451</v>
      </c>
      <c r="AT364" s="1979">
        <f>IF(Construction!$F$31=Construction!$R$22,Oeko!DG364,Oeko!FT364)</f>
        <v>8.0488597659215451</v>
      </c>
      <c r="AU364" s="1979">
        <f>IF(Construction!$F$31=Construction!$R$22,Oeko!DH364,Oeko!FU364)</f>
        <v>8.0488597659215451</v>
      </c>
      <c r="AV364" s="1979">
        <f>IF(Construction!$F$31=Construction!$R$22,Oeko!DI364,Oeko!FV364)</f>
        <v>8.0488597659215451</v>
      </c>
      <c r="AW364" s="1998">
        <f>IF(Construction!$F$31=Construction!$R$22,Oeko!DJ364,Oeko!FW364)</f>
        <v>8.0329061668367086</v>
      </c>
      <c r="AX364" s="1998">
        <f>IF(Construction!$F$31=Construction!$R$22,Oeko!DK364,Oeko!FX364)</f>
        <v>8.0329061668367086</v>
      </c>
      <c r="AY364" s="1998">
        <f>IF(Construction!$F$31=Construction!$R$22,Oeko!DL364,Oeko!FY364)</f>
        <v>8.0329061668367086</v>
      </c>
      <c r="AZ364" s="1998">
        <f>IF(Construction!$F$31=Construction!$R$22,Oeko!DM364,Oeko!FZ364)</f>
        <v>8.0329061668367086</v>
      </c>
      <c r="BA364" s="1998">
        <f>IF(Construction!$F$31=Construction!$R$22,Oeko!DN364,Oeko!GA364)</f>
        <v>8.0329061668367086</v>
      </c>
      <c r="BB364" s="1979">
        <f>IF(Construction!$F$31=Construction!$R$22,Oeko!DO364,Oeko!GB364)</f>
        <v>0.97975662301212196</v>
      </c>
      <c r="BC364" s="1979">
        <f>IF(Construction!$F$31=Construction!$R$22,Oeko!DP364,Oeko!GC364)</f>
        <v>0.97975662301212196</v>
      </c>
      <c r="BD364" s="1979">
        <f>IF(Construction!$F$31=Construction!$R$22,Oeko!DQ364,Oeko!GD364)</f>
        <v>0.97975662301212196</v>
      </c>
      <c r="BE364" s="1979">
        <f>IF(Construction!$F$31=Construction!$R$22,Oeko!DR364,Oeko!GE364)</f>
        <v>0.97975662301212196</v>
      </c>
      <c r="BF364" s="1979">
        <f>IF(Construction!$F$31=Construction!$R$22,Oeko!DS364,Oeko!GF364)</f>
        <v>0.97975662301212196</v>
      </c>
      <c r="BG364" s="1998">
        <f>IF(Construction!$F$31=Construction!$R$22,Oeko!DT364,Oeko!GG364)</f>
        <v>0.97614876347816082</v>
      </c>
      <c r="BH364" s="1998">
        <f>IF(Construction!$F$31=Construction!$R$22,Oeko!DU364,Oeko!GH364)</f>
        <v>0.97614876347816082</v>
      </c>
      <c r="BI364" s="1998">
        <f>IF(Construction!$F$31=Construction!$R$22,Oeko!DV364,Oeko!GI364)</f>
        <v>0.97614876347816082</v>
      </c>
      <c r="BJ364" s="1998">
        <f>IF(Construction!$F$31=Construction!$R$22,Oeko!DW364,Oeko!GJ364)</f>
        <v>0.97614876347816082</v>
      </c>
      <c r="BK364" s="2026">
        <f>IF(Construction!$F$31=Construction!$R$22,Oeko!DX364,Oeko!GK364)</f>
        <v>0.97614876347816082</v>
      </c>
      <c r="BN364" s="2022"/>
      <c r="BO364" s="2">
        <v>19</v>
      </c>
      <c r="BP364" s="2" t="str">
        <f>CONCATENATE($U$8," ",GV$13)</f>
        <v xml:space="preserve">Proportion de fenêtres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Proportion de fenêtres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Proportion de fenêtres </v>
      </c>
      <c r="D365" s="1979">
        <f>IF(Construction!$F$31=Construction!$R$22,Oeko!BQ365,Oeko!ED365)</f>
        <v>1</v>
      </c>
      <c r="E365" s="1979">
        <f>IF(Construction!$F$31=Construction!$R$22,Oeko!BR365,Oeko!EE365)</f>
        <v>1</v>
      </c>
      <c r="F365" s="1979">
        <f>IF(Construction!$F$31=Construction!$R$22,Oeko!BS365,Oeko!EF365)</f>
        <v>1</v>
      </c>
      <c r="G365" s="1979">
        <f>IF(Construction!$F$31=Construction!$R$22,Oeko!BT365,Oeko!EG365)</f>
        <v>1</v>
      </c>
      <c r="H365" s="1979">
        <f>IF(Construction!$F$31=Construction!$R$22,Oeko!BU365,Oeko!EH365)</f>
        <v>1</v>
      </c>
      <c r="I365" s="1998">
        <f>IF(Construction!$F$31=Construction!$R$22,Oeko!BV365,Oeko!EI365)</f>
        <v>1</v>
      </c>
      <c r="J365" s="1998">
        <f>IF(Construction!$F$31=Construction!$R$22,Oeko!BW365,Oeko!EJ365)</f>
        <v>1</v>
      </c>
      <c r="K365" s="1998">
        <f>IF(Construction!$F$31=Construction!$R$22,Oeko!BX365,Oeko!EK365)</f>
        <v>1</v>
      </c>
      <c r="L365" s="1998">
        <f>IF(Construction!$F$31=Construction!$R$22,Oeko!BY365,Oeko!EL365)</f>
        <v>1</v>
      </c>
      <c r="M365" s="1998">
        <f>IF(Construction!$F$31=Construction!$R$22,Oeko!BZ365,Oeko!EM365)</f>
        <v>1</v>
      </c>
      <c r="N365" s="1979">
        <f>IF(Construction!$F$31=Construction!$R$22,Oeko!CA365,Oeko!EN365)</f>
        <v>1</v>
      </c>
      <c r="O365" s="1979">
        <f>IF(Construction!$F$31=Construction!$R$22,Oeko!CB365,Oeko!EO365)</f>
        <v>1</v>
      </c>
      <c r="P365" s="1979">
        <f>IF(Construction!$F$31=Construction!$R$22,Oeko!CC365,Oeko!EP365)</f>
        <v>1</v>
      </c>
      <c r="Q365" s="1979">
        <f>IF(Construction!$F$31=Construction!$R$22,Oeko!CD365,Oeko!EQ365)</f>
        <v>1</v>
      </c>
      <c r="R365" s="1979">
        <f>IF(Construction!$F$31=Construction!$R$22,Oeko!CE365,Oeko!ER365)</f>
        <v>1</v>
      </c>
      <c r="S365" s="1998">
        <f>IF(Construction!$F$31=Construction!$R$22,Oeko!CF365,Oeko!ES365)</f>
        <v>1</v>
      </c>
      <c r="T365" s="1998">
        <f>IF(Construction!$F$31=Construction!$R$22,Oeko!CG365,Oeko!ET365)</f>
        <v>1</v>
      </c>
      <c r="U365" s="1998">
        <f>IF(Construction!$F$31=Construction!$R$22,Oeko!CH365,Oeko!EU365)</f>
        <v>1</v>
      </c>
      <c r="V365" s="1998">
        <f>IF(Construction!$F$31=Construction!$R$22,Oeko!CI365,Oeko!EV365)</f>
        <v>1</v>
      </c>
      <c r="W365" s="1998">
        <f>IF(Construction!$F$31=Construction!$R$22,Oeko!CJ365,Oeko!EW365)</f>
        <v>1</v>
      </c>
      <c r="X365" s="1979">
        <f>IF(Construction!$F$31=Construction!$R$22,Oeko!CK365,Oeko!EX365)</f>
        <v>1</v>
      </c>
      <c r="Y365" s="1979">
        <f>IF(Construction!$F$31=Construction!$R$22,Oeko!CL365,Oeko!EY365)</f>
        <v>1</v>
      </c>
      <c r="Z365" s="1979">
        <f>IF(Construction!$F$31=Construction!$R$22,Oeko!CM365,Oeko!EZ365)</f>
        <v>1</v>
      </c>
      <c r="AA365" s="1979">
        <f>IF(Construction!$F$31=Construction!$R$22,Oeko!CN365,Oeko!FA365)</f>
        <v>1</v>
      </c>
      <c r="AB365" s="1979">
        <f>IF(Construction!$F$31=Construction!$R$22,Oeko!CO365,Oeko!FB365)</f>
        <v>1</v>
      </c>
      <c r="AC365" s="1998">
        <f>IF(Construction!$F$31=Construction!$R$22,Oeko!CP365,Oeko!FC365)</f>
        <v>1</v>
      </c>
      <c r="AD365" s="1998">
        <f>IF(Construction!$F$31=Construction!$R$22,Oeko!CQ365,Oeko!FD365)</f>
        <v>1</v>
      </c>
      <c r="AE365" s="1998">
        <f>IF(Construction!$F$31=Construction!$R$22,Oeko!CR365,Oeko!FE365)</f>
        <v>1</v>
      </c>
      <c r="AF365" s="1998">
        <f>IF(Construction!$F$31=Construction!$R$22,Oeko!CS365,Oeko!FF365)</f>
        <v>1</v>
      </c>
      <c r="AG365" s="1998">
        <f>IF(Construction!$F$31=Construction!$R$22,Oeko!CT365,Oeko!FG365)</f>
        <v>1</v>
      </c>
      <c r="AH365" s="1979">
        <f>IF(Construction!$F$31=Construction!$R$22,Oeko!CU365,Oeko!FH365)</f>
        <v>1</v>
      </c>
      <c r="AI365" s="1979">
        <f>IF(Construction!$F$31=Construction!$R$22,Oeko!CV365,Oeko!FI365)</f>
        <v>1</v>
      </c>
      <c r="AJ365" s="1979">
        <f>IF(Construction!$F$31=Construction!$R$22,Oeko!CW365,Oeko!FJ365)</f>
        <v>1</v>
      </c>
      <c r="AK365" s="1979">
        <f>IF(Construction!$F$31=Construction!$R$22,Oeko!CX365,Oeko!FK365)</f>
        <v>1</v>
      </c>
      <c r="AL365" s="1979">
        <f>IF(Construction!$F$31=Construction!$R$22,Oeko!CY365,Oeko!FL365)</f>
        <v>1</v>
      </c>
      <c r="AM365" s="1998">
        <f>IF(Construction!$F$31=Construction!$R$22,Oeko!CZ365,Oeko!FM365)</f>
        <v>1</v>
      </c>
      <c r="AN365" s="1998">
        <f>IF(Construction!$F$31=Construction!$R$22,Oeko!DA365,Oeko!FN365)</f>
        <v>1</v>
      </c>
      <c r="AO365" s="1998">
        <f>IF(Construction!$F$31=Construction!$R$22,Oeko!DB365,Oeko!FO365)</f>
        <v>1</v>
      </c>
      <c r="AP365" s="1998">
        <f>IF(Construction!$F$31=Construction!$R$22,Oeko!DC365,Oeko!FP365)</f>
        <v>1</v>
      </c>
      <c r="AQ365" s="1998">
        <f>IF(Construction!$F$31=Construction!$R$22,Oeko!DD365,Oeko!FQ365)</f>
        <v>1</v>
      </c>
      <c r="AR365" s="1979">
        <f>IF(Construction!$F$31=Construction!$R$22,Oeko!DE365,Oeko!FR365)</f>
        <v>8.0488597659215451</v>
      </c>
      <c r="AS365" s="1979">
        <f>IF(Construction!$F$31=Construction!$R$22,Oeko!DF365,Oeko!FS365)</f>
        <v>8.0488597659215451</v>
      </c>
      <c r="AT365" s="1979">
        <f>IF(Construction!$F$31=Construction!$R$22,Oeko!DG365,Oeko!FT365)</f>
        <v>8.0488597659215451</v>
      </c>
      <c r="AU365" s="1979">
        <f>IF(Construction!$F$31=Construction!$R$22,Oeko!DH365,Oeko!FU365)</f>
        <v>8.0488597659215451</v>
      </c>
      <c r="AV365" s="1979">
        <f>IF(Construction!$F$31=Construction!$R$22,Oeko!DI365,Oeko!FV365)</f>
        <v>8.0488597659215451</v>
      </c>
      <c r="AW365" s="1998">
        <f>IF(Construction!$F$31=Construction!$R$22,Oeko!DJ365,Oeko!FW365)</f>
        <v>8.0329061668367086</v>
      </c>
      <c r="AX365" s="1998">
        <f>IF(Construction!$F$31=Construction!$R$22,Oeko!DK365,Oeko!FX365)</f>
        <v>8.0329061668367086</v>
      </c>
      <c r="AY365" s="1998">
        <f>IF(Construction!$F$31=Construction!$R$22,Oeko!DL365,Oeko!FY365)</f>
        <v>8.0329061668367086</v>
      </c>
      <c r="AZ365" s="1998">
        <f>IF(Construction!$F$31=Construction!$R$22,Oeko!DM365,Oeko!FZ365)</f>
        <v>8.0329061668367086</v>
      </c>
      <c r="BA365" s="1998">
        <f>IF(Construction!$F$31=Construction!$R$22,Oeko!DN365,Oeko!GA365)</f>
        <v>8.0329061668367086</v>
      </c>
      <c r="BB365" s="1979">
        <f>IF(Construction!$F$31=Construction!$R$22,Oeko!DO365,Oeko!GB365)</f>
        <v>0.97975662301212196</v>
      </c>
      <c r="BC365" s="1979">
        <f>IF(Construction!$F$31=Construction!$R$22,Oeko!DP365,Oeko!GC365)</f>
        <v>0.97975662301212196</v>
      </c>
      <c r="BD365" s="1979">
        <f>IF(Construction!$F$31=Construction!$R$22,Oeko!DQ365,Oeko!GD365)</f>
        <v>0.97975662301212196</v>
      </c>
      <c r="BE365" s="1979">
        <f>IF(Construction!$F$31=Construction!$R$22,Oeko!DR365,Oeko!GE365)</f>
        <v>0.97975662301212196</v>
      </c>
      <c r="BF365" s="1979">
        <f>IF(Construction!$F$31=Construction!$R$22,Oeko!DS365,Oeko!GF365)</f>
        <v>0.97975662301212196</v>
      </c>
      <c r="BG365" s="1998">
        <f>IF(Construction!$F$31=Construction!$R$22,Oeko!DT365,Oeko!GG365)</f>
        <v>0.97614876347816082</v>
      </c>
      <c r="BH365" s="1998">
        <f>IF(Construction!$F$31=Construction!$R$22,Oeko!DU365,Oeko!GH365)</f>
        <v>0.97614876347816082</v>
      </c>
      <c r="BI365" s="1998">
        <f>IF(Construction!$F$31=Construction!$R$22,Oeko!DV365,Oeko!GI365)</f>
        <v>0.97614876347816082</v>
      </c>
      <c r="BJ365" s="1998">
        <f>IF(Construction!$F$31=Construction!$R$22,Oeko!DW365,Oeko!GJ365)</f>
        <v>0.97614876347816082</v>
      </c>
      <c r="BK365" s="2026">
        <f>IF(Construction!$F$31=Construction!$R$22,Oeko!DX365,Oeko!GK365)</f>
        <v>0.97614876347816082</v>
      </c>
      <c r="BN365" s="2022"/>
      <c r="BO365" s="2">
        <v>20</v>
      </c>
      <c r="BP365" s="2" t="str">
        <f>CONCATENATE($U$8," ",GV$14)</f>
        <v xml:space="preserve">Proportion de fenêtres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Proportion de fenêtres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Proportion de fenêtres </v>
      </c>
      <c r="D366" s="1979">
        <f>IF(Construction!$F$31=Construction!$R$22,Oeko!BQ366,Oeko!ED366)</f>
        <v>1</v>
      </c>
      <c r="E366" s="1979">
        <f>IF(Construction!$F$31=Construction!$R$22,Oeko!BR366,Oeko!EE366)</f>
        <v>1</v>
      </c>
      <c r="F366" s="1979">
        <f>IF(Construction!$F$31=Construction!$R$22,Oeko!BS366,Oeko!EF366)</f>
        <v>1</v>
      </c>
      <c r="G366" s="1979">
        <f>IF(Construction!$F$31=Construction!$R$22,Oeko!BT366,Oeko!EG366)</f>
        <v>1</v>
      </c>
      <c r="H366" s="1979">
        <f>IF(Construction!$F$31=Construction!$R$22,Oeko!BU366,Oeko!EH366)</f>
        <v>1</v>
      </c>
      <c r="I366" s="1998">
        <f>IF(Construction!$F$31=Construction!$R$22,Oeko!BV366,Oeko!EI366)</f>
        <v>1</v>
      </c>
      <c r="J366" s="1998">
        <f>IF(Construction!$F$31=Construction!$R$22,Oeko!BW366,Oeko!EJ366)</f>
        <v>1</v>
      </c>
      <c r="K366" s="1998">
        <f>IF(Construction!$F$31=Construction!$R$22,Oeko!BX366,Oeko!EK366)</f>
        <v>1</v>
      </c>
      <c r="L366" s="1998">
        <f>IF(Construction!$F$31=Construction!$R$22,Oeko!BY366,Oeko!EL366)</f>
        <v>1</v>
      </c>
      <c r="M366" s="1998">
        <f>IF(Construction!$F$31=Construction!$R$22,Oeko!BZ366,Oeko!EM366)</f>
        <v>1</v>
      </c>
      <c r="N366" s="1979">
        <f>IF(Construction!$F$31=Construction!$R$22,Oeko!CA366,Oeko!EN366)</f>
        <v>1</v>
      </c>
      <c r="O366" s="1979">
        <f>IF(Construction!$F$31=Construction!$R$22,Oeko!CB366,Oeko!EO366)</f>
        <v>1</v>
      </c>
      <c r="P366" s="1979">
        <f>IF(Construction!$F$31=Construction!$R$22,Oeko!CC366,Oeko!EP366)</f>
        <v>1</v>
      </c>
      <c r="Q366" s="1979">
        <f>IF(Construction!$F$31=Construction!$R$22,Oeko!CD366,Oeko!EQ366)</f>
        <v>1</v>
      </c>
      <c r="R366" s="1979">
        <f>IF(Construction!$F$31=Construction!$R$22,Oeko!CE366,Oeko!ER366)</f>
        <v>1</v>
      </c>
      <c r="S366" s="1998">
        <f>IF(Construction!$F$31=Construction!$R$22,Oeko!CF366,Oeko!ES366)</f>
        <v>1</v>
      </c>
      <c r="T366" s="1998">
        <f>IF(Construction!$F$31=Construction!$R$22,Oeko!CG366,Oeko!ET366)</f>
        <v>1</v>
      </c>
      <c r="U366" s="1998">
        <f>IF(Construction!$F$31=Construction!$R$22,Oeko!CH366,Oeko!EU366)</f>
        <v>1</v>
      </c>
      <c r="V366" s="1998">
        <f>IF(Construction!$F$31=Construction!$R$22,Oeko!CI366,Oeko!EV366)</f>
        <v>1</v>
      </c>
      <c r="W366" s="1998">
        <f>IF(Construction!$F$31=Construction!$R$22,Oeko!CJ366,Oeko!EW366)</f>
        <v>1</v>
      </c>
      <c r="X366" s="1979">
        <f>IF(Construction!$F$31=Construction!$R$22,Oeko!CK366,Oeko!EX366)</f>
        <v>1</v>
      </c>
      <c r="Y366" s="1979">
        <f>IF(Construction!$F$31=Construction!$R$22,Oeko!CL366,Oeko!EY366)</f>
        <v>1</v>
      </c>
      <c r="Z366" s="1979">
        <f>IF(Construction!$F$31=Construction!$R$22,Oeko!CM366,Oeko!EZ366)</f>
        <v>1</v>
      </c>
      <c r="AA366" s="1979">
        <f>IF(Construction!$F$31=Construction!$R$22,Oeko!CN366,Oeko!FA366)</f>
        <v>1</v>
      </c>
      <c r="AB366" s="1979">
        <f>IF(Construction!$F$31=Construction!$R$22,Oeko!CO366,Oeko!FB366)</f>
        <v>1</v>
      </c>
      <c r="AC366" s="1998">
        <f>IF(Construction!$F$31=Construction!$R$22,Oeko!CP366,Oeko!FC366)</f>
        <v>1</v>
      </c>
      <c r="AD366" s="1998">
        <f>IF(Construction!$F$31=Construction!$R$22,Oeko!CQ366,Oeko!FD366)</f>
        <v>1</v>
      </c>
      <c r="AE366" s="1998">
        <f>IF(Construction!$F$31=Construction!$R$22,Oeko!CR366,Oeko!FE366)</f>
        <v>1</v>
      </c>
      <c r="AF366" s="1998">
        <f>IF(Construction!$F$31=Construction!$R$22,Oeko!CS366,Oeko!FF366)</f>
        <v>1</v>
      </c>
      <c r="AG366" s="1998">
        <f>IF(Construction!$F$31=Construction!$R$22,Oeko!CT366,Oeko!FG366)</f>
        <v>1</v>
      </c>
      <c r="AH366" s="1979">
        <f>IF(Construction!$F$31=Construction!$R$22,Oeko!CU366,Oeko!FH366)</f>
        <v>1</v>
      </c>
      <c r="AI366" s="1979">
        <f>IF(Construction!$F$31=Construction!$R$22,Oeko!CV366,Oeko!FI366)</f>
        <v>1</v>
      </c>
      <c r="AJ366" s="1979">
        <f>IF(Construction!$F$31=Construction!$R$22,Oeko!CW366,Oeko!FJ366)</f>
        <v>1</v>
      </c>
      <c r="AK366" s="1979">
        <f>IF(Construction!$F$31=Construction!$R$22,Oeko!CX366,Oeko!FK366)</f>
        <v>1</v>
      </c>
      <c r="AL366" s="1979">
        <f>IF(Construction!$F$31=Construction!$R$22,Oeko!CY366,Oeko!FL366)</f>
        <v>1</v>
      </c>
      <c r="AM366" s="1998">
        <f>IF(Construction!$F$31=Construction!$R$22,Oeko!CZ366,Oeko!FM366)</f>
        <v>1</v>
      </c>
      <c r="AN366" s="1998">
        <f>IF(Construction!$F$31=Construction!$R$22,Oeko!DA366,Oeko!FN366)</f>
        <v>1</v>
      </c>
      <c r="AO366" s="1998">
        <f>IF(Construction!$F$31=Construction!$R$22,Oeko!DB366,Oeko!FO366)</f>
        <v>1</v>
      </c>
      <c r="AP366" s="1998">
        <f>IF(Construction!$F$31=Construction!$R$22,Oeko!DC366,Oeko!FP366)</f>
        <v>1</v>
      </c>
      <c r="AQ366" s="1998">
        <f>IF(Construction!$F$31=Construction!$R$22,Oeko!DD366,Oeko!FQ366)</f>
        <v>1</v>
      </c>
      <c r="AR366" s="1979">
        <f>IF(Construction!$F$31=Construction!$R$22,Oeko!DE366,Oeko!FR366)</f>
        <v>8.0488597659215451</v>
      </c>
      <c r="AS366" s="1979">
        <f>IF(Construction!$F$31=Construction!$R$22,Oeko!DF366,Oeko!FS366)</f>
        <v>8.0488597659215451</v>
      </c>
      <c r="AT366" s="1979">
        <f>IF(Construction!$F$31=Construction!$R$22,Oeko!DG366,Oeko!FT366)</f>
        <v>8.0488597659215451</v>
      </c>
      <c r="AU366" s="1979">
        <f>IF(Construction!$F$31=Construction!$R$22,Oeko!DH366,Oeko!FU366)</f>
        <v>8.0488597659215451</v>
      </c>
      <c r="AV366" s="1979">
        <f>IF(Construction!$F$31=Construction!$R$22,Oeko!DI366,Oeko!FV366)</f>
        <v>8.0488597659215451</v>
      </c>
      <c r="AW366" s="1998">
        <f>IF(Construction!$F$31=Construction!$R$22,Oeko!DJ366,Oeko!FW366)</f>
        <v>8.0329061668367086</v>
      </c>
      <c r="AX366" s="1998">
        <f>IF(Construction!$F$31=Construction!$R$22,Oeko!DK366,Oeko!FX366)</f>
        <v>8.0329061668367086</v>
      </c>
      <c r="AY366" s="1998">
        <f>IF(Construction!$F$31=Construction!$R$22,Oeko!DL366,Oeko!FY366)</f>
        <v>8.0329061668367086</v>
      </c>
      <c r="AZ366" s="1998">
        <f>IF(Construction!$F$31=Construction!$R$22,Oeko!DM366,Oeko!FZ366)</f>
        <v>8.0329061668367086</v>
      </c>
      <c r="BA366" s="1998">
        <f>IF(Construction!$F$31=Construction!$R$22,Oeko!DN366,Oeko!GA366)</f>
        <v>8.0329061668367086</v>
      </c>
      <c r="BB366" s="1979">
        <f>IF(Construction!$F$31=Construction!$R$22,Oeko!DO366,Oeko!GB366)</f>
        <v>0.97975662301212196</v>
      </c>
      <c r="BC366" s="1979">
        <f>IF(Construction!$F$31=Construction!$R$22,Oeko!DP366,Oeko!GC366)</f>
        <v>0.97975662301212196</v>
      </c>
      <c r="BD366" s="1979">
        <f>IF(Construction!$F$31=Construction!$R$22,Oeko!DQ366,Oeko!GD366)</f>
        <v>0.97975662301212196</v>
      </c>
      <c r="BE366" s="1979">
        <f>IF(Construction!$F$31=Construction!$R$22,Oeko!DR366,Oeko!GE366)</f>
        <v>0.97975662301212196</v>
      </c>
      <c r="BF366" s="1979">
        <f>IF(Construction!$F$31=Construction!$R$22,Oeko!DS366,Oeko!GF366)</f>
        <v>0.97975662301212196</v>
      </c>
      <c r="BG366" s="1998">
        <f>IF(Construction!$F$31=Construction!$R$22,Oeko!DT366,Oeko!GG366)</f>
        <v>0.97614876347816082</v>
      </c>
      <c r="BH366" s="1998">
        <f>IF(Construction!$F$31=Construction!$R$22,Oeko!DU366,Oeko!GH366)</f>
        <v>0.97614876347816082</v>
      </c>
      <c r="BI366" s="1998">
        <f>IF(Construction!$F$31=Construction!$R$22,Oeko!DV366,Oeko!GI366)</f>
        <v>0.97614876347816082</v>
      </c>
      <c r="BJ366" s="1998">
        <f>IF(Construction!$F$31=Construction!$R$22,Oeko!DW366,Oeko!GJ366)</f>
        <v>0.97614876347816082</v>
      </c>
      <c r="BK366" s="2026">
        <f>IF(Construction!$F$31=Construction!$R$22,Oeko!DX366,Oeko!GK366)</f>
        <v>0.97614876347816082</v>
      </c>
      <c r="BN366" s="2022"/>
      <c r="BO366" s="2">
        <v>21</v>
      </c>
      <c r="BP366" s="2" t="str">
        <f>CONCATENATE($U$8," ",GV$15)</f>
        <v xml:space="preserve">Proportion de fenêtres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Proportion de fenêtres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Proportion de fenêtres </v>
      </c>
      <c r="D367" s="1979">
        <f>IF(Construction!$F$31=Construction!$R$22,Oeko!BQ367,Oeko!ED367)</f>
        <v>1</v>
      </c>
      <c r="E367" s="1979">
        <f>IF(Construction!$F$31=Construction!$R$22,Oeko!BR367,Oeko!EE367)</f>
        <v>1</v>
      </c>
      <c r="F367" s="1979">
        <f>IF(Construction!$F$31=Construction!$R$22,Oeko!BS367,Oeko!EF367)</f>
        <v>1</v>
      </c>
      <c r="G367" s="1979">
        <f>IF(Construction!$F$31=Construction!$R$22,Oeko!BT367,Oeko!EG367)</f>
        <v>1</v>
      </c>
      <c r="H367" s="1979">
        <f>IF(Construction!$F$31=Construction!$R$22,Oeko!BU367,Oeko!EH367)</f>
        <v>1</v>
      </c>
      <c r="I367" s="1998">
        <f>IF(Construction!$F$31=Construction!$R$22,Oeko!BV367,Oeko!EI367)</f>
        <v>1</v>
      </c>
      <c r="J367" s="1998">
        <f>IF(Construction!$F$31=Construction!$R$22,Oeko!BW367,Oeko!EJ367)</f>
        <v>1</v>
      </c>
      <c r="K367" s="1998">
        <f>IF(Construction!$F$31=Construction!$R$22,Oeko!BX367,Oeko!EK367)</f>
        <v>1</v>
      </c>
      <c r="L367" s="1998">
        <f>IF(Construction!$F$31=Construction!$R$22,Oeko!BY367,Oeko!EL367)</f>
        <v>1</v>
      </c>
      <c r="M367" s="1998">
        <f>IF(Construction!$F$31=Construction!$R$22,Oeko!BZ367,Oeko!EM367)</f>
        <v>1</v>
      </c>
      <c r="N367" s="1979">
        <f>IF(Construction!$F$31=Construction!$R$22,Oeko!CA367,Oeko!EN367)</f>
        <v>1</v>
      </c>
      <c r="O367" s="1979">
        <f>IF(Construction!$F$31=Construction!$R$22,Oeko!CB367,Oeko!EO367)</f>
        <v>1</v>
      </c>
      <c r="P367" s="1979">
        <f>IF(Construction!$F$31=Construction!$R$22,Oeko!CC367,Oeko!EP367)</f>
        <v>1</v>
      </c>
      <c r="Q367" s="1979">
        <f>IF(Construction!$F$31=Construction!$R$22,Oeko!CD367,Oeko!EQ367)</f>
        <v>1</v>
      </c>
      <c r="R367" s="1979">
        <f>IF(Construction!$F$31=Construction!$R$22,Oeko!CE367,Oeko!ER367)</f>
        <v>1</v>
      </c>
      <c r="S367" s="1998">
        <f>IF(Construction!$F$31=Construction!$R$22,Oeko!CF367,Oeko!ES367)</f>
        <v>1</v>
      </c>
      <c r="T367" s="1998">
        <f>IF(Construction!$F$31=Construction!$R$22,Oeko!CG367,Oeko!ET367)</f>
        <v>1</v>
      </c>
      <c r="U367" s="1998">
        <f>IF(Construction!$F$31=Construction!$R$22,Oeko!CH367,Oeko!EU367)</f>
        <v>1</v>
      </c>
      <c r="V367" s="1998">
        <f>IF(Construction!$F$31=Construction!$R$22,Oeko!CI367,Oeko!EV367)</f>
        <v>1</v>
      </c>
      <c r="W367" s="1998">
        <f>IF(Construction!$F$31=Construction!$R$22,Oeko!CJ367,Oeko!EW367)</f>
        <v>1</v>
      </c>
      <c r="X367" s="1979">
        <f>IF(Construction!$F$31=Construction!$R$22,Oeko!CK367,Oeko!EX367)</f>
        <v>1</v>
      </c>
      <c r="Y367" s="1979">
        <f>IF(Construction!$F$31=Construction!$R$22,Oeko!CL367,Oeko!EY367)</f>
        <v>1</v>
      </c>
      <c r="Z367" s="1979">
        <f>IF(Construction!$F$31=Construction!$R$22,Oeko!CM367,Oeko!EZ367)</f>
        <v>1</v>
      </c>
      <c r="AA367" s="1979">
        <f>IF(Construction!$F$31=Construction!$R$22,Oeko!CN367,Oeko!FA367)</f>
        <v>1</v>
      </c>
      <c r="AB367" s="1979">
        <f>IF(Construction!$F$31=Construction!$R$22,Oeko!CO367,Oeko!FB367)</f>
        <v>1</v>
      </c>
      <c r="AC367" s="1998">
        <f>IF(Construction!$F$31=Construction!$R$22,Oeko!CP367,Oeko!FC367)</f>
        <v>1</v>
      </c>
      <c r="AD367" s="1998">
        <f>IF(Construction!$F$31=Construction!$R$22,Oeko!CQ367,Oeko!FD367)</f>
        <v>1</v>
      </c>
      <c r="AE367" s="1998">
        <f>IF(Construction!$F$31=Construction!$R$22,Oeko!CR367,Oeko!FE367)</f>
        <v>1</v>
      </c>
      <c r="AF367" s="1998">
        <f>IF(Construction!$F$31=Construction!$R$22,Oeko!CS367,Oeko!FF367)</f>
        <v>1</v>
      </c>
      <c r="AG367" s="1998">
        <f>IF(Construction!$F$31=Construction!$R$22,Oeko!CT367,Oeko!FG367)</f>
        <v>1</v>
      </c>
      <c r="AH367" s="1979">
        <f>IF(Construction!$F$31=Construction!$R$22,Oeko!CU367,Oeko!FH367)</f>
        <v>1</v>
      </c>
      <c r="AI367" s="1979">
        <f>IF(Construction!$F$31=Construction!$R$22,Oeko!CV367,Oeko!FI367)</f>
        <v>1</v>
      </c>
      <c r="AJ367" s="1979">
        <f>IF(Construction!$F$31=Construction!$R$22,Oeko!CW367,Oeko!FJ367)</f>
        <v>1</v>
      </c>
      <c r="AK367" s="1979">
        <f>IF(Construction!$F$31=Construction!$R$22,Oeko!CX367,Oeko!FK367)</f>
        <v>1</v>
      </c>
      <c r="AL367" s="1979">
        <f>IF(Construction!$F$31=Construction!$R$22,Oeko!CY367,Oeko!FL367)</f>
        <v>1</v>
      </c>
      <c r="AM367" s="1998">
        <f>IF(Construction!$F$31=Construction!$R$22,Oeko!CZ367,Oeko!FM367)</f>
        <v>1</v>
      </c>
      <c r="AN367" s="1998">
        <f>IF(Construction!$F$31=Construction!$R$22,Oeko!DA367,Oeko!FN367)</f>
        <v>1</v>
      </c>
      <c r="AO367" s="1998">
        <f>IF(Construction!$F$31=Construction!$R$22,Oeko!DB367,Oeko!FO367)</f>
        <v>1</v>
      </c>
      <c r="AP367" s="1998">
        <f>IF(Construction!$F$31=Construction!$R$22,Oeko!DC367,Oeko!FP367)</f>
        <v>1</v>
      </c>
      <c r="AQ367" s="1998">
        <f>IF(Construction!$F$31=Construction!$R$22,Oeko!DD367,Oeko!FQ367)</f>
        <v>1</v>
      </c>
      <c r="AR367" s="1979">
        <f>IF(Construction!$F$31=Construction!$R$22,Oeko!DE367,Oeko!FR367)</f>
        <v>8.0488597659215451</v>
      </c>
      <c r="AS367" s="1979">
        <f>IF(Construction!$F$31=Construction!$R$22,Oeko!DF367,Oeko!FS367)</f>
        <v>8.0488597659215451</v>
      </c>
      <c r="AT367" s="1979">
        <f>IF(Construction!$F$31=Construction!$R$22,Oeko!DG367,Oeko!FT367)</f>
        <v>8.0488597659215451</v>
      </c>
      <c r="AU367" s="1979">
        <f>IF(Construction!$F$31=Construction!$R$22,Oeko!DH367,Oeko!FU367)</f>
        <v>8.0488597659215451</v>
      </c>
      <c r="AV367" s="1979">
        <f>IF(Construction!$F$31=Construction!$R$22,Oeko!DI367,Oeko!FV367)</f>
        <v>8.0488597659215451</v>
      </c>
      <c r="AW367" s="1998">
        <f>IF(Construction!$F$31=Construction!$R$22,Oeko!DJ367,Oeko!FW367)</f>
        <v>8.0329061668367086</v>
      </c>
      <c r="AX367" s="1998">
        <f>IF(Construction!$F$31=Construction!$R$22,Oeko!DK367,Oeko!FX367)</f>
        <v>8.0329061668367086</v>
      </c>
      <c r="AY367" s="1998">
        <f>IF(Construction!$F$31=Construction!$R$22,Oeko!DL367,Oeko!FY367)</f>
        <v>8.0329061668367086</v>
      </c>
      <c r="AZ367" s="1998">
        <f>IF(Construction!$F$31=Construction!$R$22,Oeko!DM367,Oeko!FZ367)</f>
        <v>8.0329061668367086</v>
      </c>
      <c r="BA367" s="1998">
        <f>IF(Construction!$F$31=Construction!$R$22,Oeko!DN367,Oeko!GA367)</f>
        <v>8.0329061668367086</v>
      </c>
      <c r="BB367" s="1979">
        <f>IF(Construction!$F$31=Construction!$R$22,Oeko!DO367,Oeko!GB367)</f>
        <v>0.97975662301212196</v>
      </c>
      <c r="BC367" s="1979">
        <f>IF(Construction!$F$31=Construction!$R$22,Oeko!DP367,Oeko!GC367)</f>
        <v>0.97975662301212196</v>
      </c>
      <c r="BD367" s="1979">
        <f>IF(Construction!$F$31=Construction!$R$22,Oeko!DQ367,Oeko!GD367)</f>
        <v>0.97975662301212196</v>
      </c>
      <c r="BE367" s="1979">
        <f>IF(Construction!$F$31=Construction!$R$22,Oeko!DR367,Oeko!GE367)</f>
        <v>0.97975662301212196</v>
      </c>
      <c r="BF367" s="1979">
        <f>IF(Construction!$F$31=Construction!$R$22,Oeko!DS367,Oeko!GF367)</f>
        <v>0.97975662301212196</v>
      </c>
      <c r="BG367" s="1998">
        <f>IF(Construction!$F$31=Construction!$R$22,Oeko!DT367,Oeko!GG367)</f>
        <v>0.97614876347816082</v>
      </c>
      <c r="BH367" s="1998">
        <f>IF(Construction!$F$31=Construction!$R$22,Oeko!DU367,Oeko!GH367)</f>
        <v>0.97614876347816082</v>
      </c>
      <c r="BI367" s="1998">
        <f>IF(Construction!$F$31=Construction!$R$22,Oeko!DV367,Oeko!GI367)</f>
        <v>0.97614876347816082</v>
      </c>
      <c r="BJ367" s="1998">
        <f>IF(Construction!$F$31=Construction!$R$22,Oeko!DW367,Oeko!GJ367)</f>
        <v>0.97614876347816082</v>
      </c>
      <c r="BK367" s="2026">
        <f>IF(Construction!$F$31=Construction!$R$22,Oeko!DX367,Oeko!GK367)</f>
        <v>0.97614876347816082</v>
      </c>
      <c r="BN367" s="2022"/>
      <c r="BO367" s="2">
        <v>22</v>
      </c>
      <c r="BP367" s="2" t="str">
        <f>CONCATENATE($U$8," ",GV$16)</f>
        <v xml:space="preserve">Proportion de fenêtres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Proportion de fenêtres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Proportion de fenêtres </v>
      </c>
      <c r="D368" s="1979">
        <f>IF(Construction!$F$31=Construction!$R$22,Oeko!BQ368,Oeko!ED368)</f>
        <v>1</v>
      </c>
      <c r="E368" s="1979">
        <f>IF(Construction!$F$31=Construction!$R$22,Oeko!BR368,Oeko!EE368)</f>
        <v>1</v>
      </c>
      <c r="F368" s="1979">
        <f>IF(Construction!$F$31=Construction!$R$22,Oeko!BS368,Oeko!EF368)</f>
        <v>1</v>
      </c>
      <c r="G368" s="1979">
        <f>IF(Construction!$F$31=Construction!$R$22,Oeko!BT368,Oeko!EG368)</f>
        <v>1</v>
      </c>
      <c r="H368" s="1979">
        <f>IF(Construction!$F$31=Construction!$R$22,Oeko!BU368,Oeko!EH368)</f>
        <v>1</v>
      </c>
      <c r="I368" s="1998">
        <f>IF(Construction!$F$31=Construction!$R$22,Oeko!BV368,Oeko!EI368)</f>
        <v>1</v>
      </c>
      <c r="J368" s="1998">
        <f>IF(Construction!$F$31=Construction!$R$22,Oeko!BW368,Oeko!EJ368)</f>
        <v>1</v>
      </c>
      <c r="K368" s="1998">
        <f>IF(Construction!$F$31=Construction!$R$22,Oeko!BX368,Oeko!EK368)</f>
        <v>1</v>
      </c>
      <c r="L368" s="1998">
        <f>IF(Construction!$F$31=Construction!$R$22,Oeko!BY368,Oeko!EL368)</f>
        <v>1</v>
      </c>
      <c r="M368" s="1998">
        <f>IF(Construction!$F$31=Construction!$R$22,Oeko!BZ368,Oeko!EM368)</f>
        <v>1</v>
      </c>
      <c r="N368" s="1979">
        <f>IF(Construction!$F$31=Construction!$R$22,Oeko!CA368,Oeko!EN368)</f>
        <v>1</v>
      </c>
      <c r="O368" s="1979">
        <f>IF(Construction!$F$31=Construction!$R$22,Oeko!CB368,Oeko!EO368)</f>
        <v>1</v>
      </c>
      <c r="P368" s="1979">
        <f>IF(Construction!$F$31=Construction!$R$22,Oeko!CC368,Oeko!EP368)</f>
        <v>1</v>
      </c>
      <c r="Q368" s="1979">
        <f>IF(Construction!$F$31=Construction!$R$22,Oeko!CD368,Oeko!EQ368)</f>
        <v>1</v>
      </c>
      <c r="R368" s="1979">
        <f>IF(Construction!$F$31=Construction!$R$22,Oeko!CE368,Oeko!ER368)</f>
        <v>1</v>
      </c>
      <c r="S368" s="1998">
        <f>IF(Construction!$F$31=Construction!$R$22,Oeko!CF368,Oeko!ES368)</f>
        <v>1</v>
      </c>
      <c r="T368" s="1998">
        <f>IF(Construction!$F$31=Construction!$R$22,Oeko!CG368,Oeko!ET368)</f>
        <v>1</v>
      </c>
      <c r="U368" s="1998">
        <f>IF(Construction!$F$31=Construction!$R$22,Oeko!CH368,Oeko!EU368)</f>
        <v>1</v>
      </c>
      <c r="V368" s="1998">
        <f>IF(Construction!$F$31=Construction!$R$22,Oeko!CI368,Oeko!EV368)</f>
        <v>1</v>
      </c>
      <c r="W368" s="1998">
        <f>IF(Construction!$F$31=Construction!$R$22,Oeko!CJ368,Oeko!EW368)</f>
        <v>1</v>
      </c>
      <c r="X368" s="1979">
        <f>IF(Construction!$F$31=Construction!$R$22,Oeko!CK368,Oeko!EX368)</f>
        <v>1</v>
      </c>
      <c r="Y368" s="1979">
        <f>IF(Construction!$F$31=Construction!$R$22,Oeko!CL368,Oeko!EY368)</f>
        <v>1</v>
      </c>
      <c r="Z368" s="1979">
        <f>IF(Construction!$F$31=Construction!$R$22,Oeko!CM368,Oeko!EZ368)</f>
        <v>1</v>
      </c>
      <c r="AA368" s="1979">
        <f>IF(Construction!$F$31=Construction!$R$22,Oeko!CN368,Oeko!FA368)</f>
        <v>1</v>
      </c>
      <c r="AB368" s="1979">
        <f>IF(Construction!$F$31=Construction!$R$22,Oeko!CO368,Oeko!FB368)</f>
        <v>1</v>
      </c>
      <c r="AC368" s="1998">
        <f>IF(Construction!$F$31=Construction!$R$22,Oeko!CP368,Oeko!FC368)</f>
        <v>1</v>
      </c>
      <c r="AD368" s="1998">
        <f>IF(Construction!$F$31=Construction!$R$22,Oeko!CQ368,Oeko!FD368)</f>
        <v>1</v>
      </c>
      <c r="AE368" s="1998">
        <f>IF(Construction!$F$31=Construction!$R$22,Oeko!CR368,Oeko!FE368)</f>
        <v>1</v>
      </c>
      <c r="AF368" s="1998">
        <f>IF(Construction!$F$31=Construction!$R$22,Oeko!CS368,Oeko!FF368)</f>
        <v>1</v>
      </c>
      <c r="AG368" s="1998">
        <f>IF(Construction!$F$31=Construction!$R$22,Oeko!CT368,Oeko!FG368)</f>
        <v>1</v>
      </c>
      <c r="AH368" s="1979">
        <f>IF(Construction!$F$31=Construction!$R$22,Oeko!CU368,Oeko!FH368)</f>
        <v>1</v>
      </c>
      <c r="AI368" s="1979">
        <f>IF(Construction!$F$31=Construction!$R$22,Oeko!CV368,Oeko!FI368)</f>
        <v>1</v>
      </c>
      <c r="AJ368" s="1979">
        <f>IF(Construction!$F$31=Construction!$R$22,Oeko!CW368,Oeko!FJ368)</f>
        <v>1</v>
      </c>
      <c r="AK368" s="1979">
        <f>IF(Construction!$F$31=Construction!$R$22,Oeko!CX368,Oeko!FK368)</f>
        <v>1</v>
      </c>
      <c r="AL368" s="1979">
        <f>IF(Construction!$F$31=Construction!$R$22,Oeko!CY368,Oeko!FL368)</f>
        <v>1</v>
      </c>
      <c r="AM368" s="1998">
        <f>IF(Construction!$F$31=Construction!$R$22,Oeko!CZ368,Oeko!FM368)</f>
        <v>1</v>
      </c>
      <c r="AN368" s="1998">
        <f>IF(Construction!$F$31=Construction!$R$22,Oeko!DA368,Oeko!FN368)</f>
        <v>1</v>
      </c>
      <c r="AO368" s="1998">
        <f>IF(Construction!$F$31=Construction!$R$22,Oeko!DB368,Oeko!FO368)</f>
        <v>1</v>
      </c>
      <c r="AP368" s="1998">
        <f>IF(Construction!$F$31=Construction!$R$22,Oeko!DC368,Oeko!FP368)</f>
        <v>1</v>
      </c>
      <c r="AQ368" s="1998">
        <f>IF(Construction!$F$31=Construction!$R$22,Oeko!DD368,Oeko!FQ368)</f>
        <v>1</v>
      </c>
      <c r="AR368" s="1979">
        <f>IF(Construction!$F$31=Construction!$R$22,Oeko!DE368,Oeko!FR368)</f>
        <v>8.0488597659215451</v>
      </c>
      <c r="AS368" s="1979">
        <f>IF(Construction!$F$31=Construction!$R$22,Oeko!DF368,Oeko!FS368)</f>
        <v>8.0488597659215451</v>
      </c>
      <c r="AT368" s="1979">
        <f>IF(Construction!$F$31=Construction!$R$22,Oeko!DG368,Oeko!FT368)</f>
        <v>8.0488597659215451</v>
      </c>
      <c r="AU368" s="1979">
        <f>IF(Construction!$F$31=Construction!$R$22,Oeko!DH368,Oeko!FU368)</f>
        <v>8.0488597659215451</v>
      </c>
      <c r="AV368" s="1979">
        <f>IF(Construction!$F$31=Construction!$R$22,Oeko!DI368,Oeko!FV368)</f>
        <v>8.0488597659215451</v>
      </c>
      <c r="AW368" s="1998">
        <f>IF(Construction!$F$31=Construction!$R$22,Oeko!DJ368,Oeko!FW368)</f>
        <v>8.0329061668367086</v>
      </c>
      <c r="AX368" s="1998">
        <f>IF(Construction!$F$31=Construction!$R$22,Oeko!DK368,Oeko!FX368)</f>
        <v>8.0329061668367086</v>
      </c>
      <c r="AY368" s="1998">
        <f>IF(Construction!$F$31=Construction!$R$22,Oeko!DL368,Oeko!FY368)</f>
        <v>8.0329061668367086</v>
      </c>
      <c r="AZ368" s="1998">
        <f>IF(Construction!$F$31=Construction!$R$22,Oeko!DM368,Oeko!FZ368)</f>
        <v>8.0329061668367086</v>
      </c>
      <c r="BA368" s="1998">
        <f>IF(Construction!$F$31=Construction!$R$22,Oeko!DN368,Oeko!GA368)</f>
        <v>8.0329061668367086</v>
      </c>
      <c r="BB368" s="1979">
        <f>IF(Construction!$F$31=Construction!$R$22,Oeko!DO368,Oeko!GB368)</f>
        <v>0.97975662301212196</v>
      </c>
      <c r="BC368" s="1979">
        <f>IF(Construction!$F$31=Construction!$R$22,Oeko!DP368,Oeko!GC368)</f>
        <v>0.97975662301212196</v>
      </c>
      <c r="BD368" s="1979">
        <f>IF(Construction!$F$31=Construction!$R$22,Oeko!DQ368,Oeko!GD368)</f>
        <v>0.97975662301212196</v>
      </c>
      <c r="BE368" s="1979">
        <f>IF(Construction!$F$31=Construction!$R$22,Oeko!DR368,Oeko!GE368)</f>
        <v>0.97975662301212196</v>
      </c>
      <c r="BF368" s="1979">
        <f>IF(Construction!$F$31=Construction!$R$22,Oeko!DS368,Oeko!GF368)</f>
        <v>0.97975662301212196</v>
      </c>
      <c r="BG368" s="1998">
        <f>IF(Construction!$F$31=Construction!$R$22,Oeko!DT368,Oeko!GG368)</f>
        <v>0.97614876347816082</v>
      </c>
      <c r="BH368" s="1998">
        <f>IF(Construction!$F$31=Construction!$R$22,Oeko!DU368,Oeko!GH368)</f>
        <v>0.97614876347816082</v>
      </c>
      <c r="BI368" s="1998">
        <f>IF(Construction!$F$31=Construction!$R$22,Oeko!DV368,Oeko!GI368)</f>
        <v>0.97614876347816082</v>
      </c>
      <c r="BJ368" s="1998">
        <f>IF(Construction!$F$31=Construction!$R$22,Oeko!DW368,Oeko!GJ368)</f>
        <v>0.97614876347816082</v>
      </c>
      <c r="BK368" s="2026">
        <f>IF(Construction!$F$31=Construction!$R$22,Oeko!DX368,Oeko!GK368)</f>
        <v>0.97614876347816082</v>
      </c>
      <c r="BN368" s="2022"/>
      <c r="BO368" s="2">
        <v>23</v>
      </c>
      <c r="BP368" s="2" t="str">
        <f>CONCATENATE($U$8," ",GV$17)</f>
        <v xml:space="preserve">Proportion de fenêtres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Proportion de fenêtres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IF(Construction!$F$31=Construction!$R$22,Oeko!BQ369,Oeko!ED369)</f>
        <v>1</v>
      </c>
      <c r="E369" s="1979">
        <f>IF(Construction!$F$31=Construction!$R$22,Oeko!BR369,Oeko!EE369)</f>
        <v>1</v>
      </c>
      <c r="F369" s="1979">
        <f>IF(Construction!$F$31=Construction!$R$22,Oeko!BS369,Oeko!EF369)</f>
        <v>1</v>
      </c>
      <c r="G369" s="1979">
        <f>IF(Construction!$F$31=Construction!$R$22,Oeko!BT369,Oeko!EG369)</f>
        <v>1</v>
      </c>
      <c r="H369" s="1979">
        <f>IF(Construction!$F$31=Construction!$R$22,Oeko!BU369,Oeko!EH369)</f>
        <v>1</v>
      </c>
      <c r="I369" s="1998">
        <f>IF(Construction!$F$31=Construction!$R$22,Oeko!BV369,Oeko!EI369)</f>
        <v>1</v>
      </c>
      <c r="J369" s="1998">
        <f>IF(Construction!$F$31=Construction!$R$22,Oeko!BW369,Oeko!EJ369)</f>
        <v>1</v>
      </c>
      <c r="K369" s="1998">
        <f>IF(Construction!$F$31=Construction!$R$22,Oeko!BX369,Oeko!EK369)</f>
        <v>1</v>
      </c>
      <c r="L369" s="1998">
        <f>IF(Construction!$F$31=Construction!$R$22,Oeko!BY369,Oeko!EL369)</f>
        <v>1</v>
      </c>
      <c r="M369" s="1998">
        <f>IF(Construction!$F$31=Construction!$R$22,Oeko!BZ369,Oeko!EM369)</f>
        <v>1</v>
      </c>
      <c r="N369" s="1979">
        <f>IF(Construction!$F$31=Construction!$R$22,Oeko!CA369,Oeko!EN369)</f>
        <v>1.0000000000000002</v>
      </c>
      <c r="O369" s="1979">
        <f>IF(Construction!$F$31=Construction!$R$22,Oeko!CB369,Oeko!EO369)</f>
        <v>1.0000000000000002</v>
      </c>
      <c r="P369" s="1979">
        <f>IF(Construction!$F$31=Construction!$R$22,Oeko!CC369,Oeko!EP369)</f>
        <v>1.0000000000000002</v>
      </c>
      <c r="Q369" s="1979">
        <f>IF(Construction!$F$31=Construction!$R$22,Oeko!CD369,Oeko!EQ369)</f>
        <v>1.0000000000000002</v>
      </c>
      <c r="R369" s="1979">
        <f>IF(Construction!$F$31=Construction!$R$22,Oeko!CE369,Oeko!ER369)</f>
        <v>1.0000000000000002</v>
      </c>
      <c r="S369" s="1998">
        <f>IF(Construction!$F$31=Construction!$R$22,Oeko!CF369,Oeko!ES369)</f>
        <v>1</v>
      </c>
      <c r="T369" s="1998">
        <f>IF(Construction!$F$31=Construction!$R$22,Oeko!CG369,Oeko!ET369)</f>
        <v>1</v>
      </c>
      <c r="U369" s="1998">
        <f>IF(Construction!$F$31=Construction!$R$22,Oeko!CH369,Oeko!EU369)</f>
        <v>1</v>
      </c>
      <c r="V369" s="1998">
        <f>IF(Construction!$F$31=Construction!$R$22,Oeko!CI369,Oeko!EV369)</f>
        <v>1</v>
      </c>
      <c r="W369" s="1998">
        <f>IF(Construction!$F$31=Construction!$R$22,Oeko!CJ369,Oeko!EW369)</f>
        <v>1</v>
      </c>
      <c r="X369" s="1979">
        <f>IF(Construction!$F$31=Construction!$R$22,Oeko!CK369,Oeko!EX369)</f>
        <v>1</v>
      </c>
      <c r="Y369" s="1979">
        <f>IF(Construction!$F$31=Construction!$R$22,Oeko!CL369,Oeko!EY369)</f>
        <v>1</v>
      </c>
      <c r="Z369" s="1979">
        <f>IF(Construction!$F$31=Construction!$R$22,Oeko!CM369,Oeko!EZ369)</f>
        <v>1</v>
      </c>
      <c r="AA369" s="1979">
        <f>IF(Construction!$F$31=Construction!$R$22,Oeko!CN369,Oeko!FA369)</f>
        <v>1</v>
      </c>
      <c r="AB369" s="1979">
        <f>IF(Construction!$F$31=Construction!$R$22,Oeko!CO369,Oeko!FB369)</f>
        <v>1</v>
      </c>
      <c r="AC369" s="1998">
        <f>IF(Construction!$F$31=Construction!$R$22,Oeko!CP369,Oeko!FC369)</f>
        <v>1</v>
      </c>
      <c r="AD369" s="1998">
        <f>IF(Construction!$F$31=Construction!$R$22,Oeko!CQ369,Oeko!FD369)</f>
        <v>1</v>
      </c>
      <c r="AE369" s="1998">
        <f>IF(Construction!$F$31=Construction!$R$22,Oeko!CR369,Oeko!FE369)</f>
        <v>1</v>
      </c>
      <c r="AF369" s="1998">
        <f>IF(Construction!$F$31=Construction!$R$22,Oeko!CS369,Oeko!FF369)</f>
        <v>1</v>
      </c>
      <c r="AG369" s="1998">
        <f>IF(Construction!$F$31=Construction!$R$22,Oeko!CT369,Oeko!FG369)</f>
        <v>1</v>
      </c>
      <c r="AH369" s="1979">
        <f>IF(Construction!$F$31=Construction!$R$22,Oeko!CU369,Oeko!FH369)</f>
        <v>1</v>
      </c>
      <c r="AI369" s="1979">
        <f>IF(Construction!$F$31=Construction!$R$22,Oeko!CV369,Oeko!FI369)</f>
        <v>1</v>
      </c>
      <c r="AJ369" s="1979">
        <f>IF(Construction!$F$31=Construction!$R$22,Oeko!CW369,Oeko!FJ369)</f>
        <v>1</v>
      </c>
      <c r="AK369" s="1979">
        <f>IF(Construction!$F$31=Construction!$R$22,Oeko!CX369,Oeko!FK369)</f>
        <v>1</v>
      </c>
      <c r="AL369" s="1979">
        <f>IF(Construction!$F$31=Construction!$R$22,Oeko!CY369,Oeko!FL369)</f>
        <v>1</v>
      </c>
      <c r="AM369" s="1998">
        <f>IF(Construction!$F$31=Construction!$R$22,Oeko!CZ369,Oeko!FM369)</f>
        <v>0.66666666666666663</v>
      </c>
      <c r="AN369" s="1998">
        <f>IF(Construction!$F$31=Construction!$R$22,Oeko!DA369,Oeko!FN369)</f>
        <v>0.66666666666666663</v>
      </c>
      <c r="AO369" s="1998">
        <f>IF(Construction!$F$31=Construction!$R$22,Oeko!DB369,Oeko!FO369)</f>
        <v>0.66666666666666663</v>
      </c>
      <c r="AP369" s="1998">
        <f>IF(Construction!$F$31=Construction!$R$22,Oeko!DC369,Oeko!FP369)</f>
        <v>0.66666666666666663</v>
      </c>
      <c r="AQ369" s="1998">
        <f>IF(Construction!$F$31=Construction!$R$22,Oeko!DD369,Oeko!FQ369)</f>
        <v>0.66666666666666663</v>
      </c>
      <c r="AR369" s="1979">
        <f>IF(Construction!$F$31=Construction!$R$22,Oeko!DE369,Oeko!FR369)</f>
        <v>8.1914540462959007</v>
      </c>
      <c r="AS369" s="1979">
        <f>IF(Construction!$F$31=Construction!$R$22,Oeko!DF369,Oeko!FS369)</f>
        <v>8.1914540462959007</v>
      </c>
      <c r="AT369" s="1979">
        <f>IF(Construction!$F$31=Construction!$R$22,Oeko!DG369,Oeko!FT369)</f>
        <v>8.1914540462959007</v>
      </c>
      <c r="AU369" s="1979">
        <f>IF(Construction!$F$31=Construction!$R$22,Oeko!DH369,Oeko!FU369)</f>
        <v>8.1914540462959007</v>
      </c>
      <c r="AV369" s="1979">
        <f>IF(Construction!$F$31=Construction!$R$22,Oeko!DI369,Oeko!FV369)</f>
        <v>8.1914540462959007</v>
      </c>
      <c r="AW369" s="1998">
        <f>IF(Construction!$F$31=Construction!$R$22,Oeko!DJ369,Oeko!FW369)</f>
        <v>8.1771999062029916</v>
      </c>
      <c r="AX369" s="1998">
        <f>IF(Construction!$F$31=Construction!$R$22,Oeko!DK369,Oeko!FX369)</f>
        <v>8.1771999062029916</v>
      </c>
      <c r="AY369" s="1998">
        <f>IF(Construction!$F$31=Construction!$R$22,Oeko!DL369,Oeko!FY369)</f>
        <v>8.1771999062029916</v>
      </c>
      <c r="AZ369" s="1998">
        <f>IF(Construction!$F$31=Construction!$R$22,Oeko!DM369,Oeko!FZ369)</f>
        <v>8.1771999062029916</v>
      </c>
      <c r="BA369" s="1998">
        <f>IF(Construction!$F$31=Construction!$R$22,Oeko!DN369,Oeko!GA369)</f>
        <v>8.1771999062029916</v>
      </c>
      <c r="BB369" s="1979">
        <f>IF(Construction!$F$31=Construction!$R$22,Oeko!DO369,Oeko!GB369)</f>
        <v>1</v>
      </c>
      <c r="BC369" s="1979">
        <f>IF(Construction!$F$31=Construction!$R$22,Oeko!DP369,Oeko!GC369)</f>
        <v>1</v>
      </c>
      <c r="BD369" s="1979">
        <f>IF(Construction!$F$31=Construction!$R$22,Oeko!DQ369,Oeko!GD369)</f>
        <v>1</v>
      </c>
      <c r="BE369" s="1979">
        <f>IF(Construction!$F$31=Construction!$R$22,Oeko!DR369,Oeko!GE369)</f>
        <v>1</v>
      </c>
      <c r="BF369" s="1979">
        <f>IF(Construction!$F$31=Construction!$R$22,Oeko!DS369,Oeko!GF369)</f>
        <v>1</v>
      </c>
      <c r="BG369" s="1998">
        <f>IF(Construction!$F$31=Construction!$R$22,Oeko!DT369,Oeko!GG369)</f>
        <v>1</v>
      </c>
      <c r="BH369" s="1998">
        <f>IF(Construction!$F$31=Construction!$R$22,Oeko!DU369,Oeko!GH369)</f>
        <v>1</v>
      </c>
      <c r="BI369" s="1998">
        <f>IF(Construction!$F$31=Construction!$R$22,Oeko!DV369,Oeko!GI369)</f>
        <v>1</v>
      </c>
      <c r="BJ369" s="1998">
        <f>IF(Construction!$F$31=Construction!$R$22,Oeko!DW369,Oeko!GJ369)</f>
        <v>1</v>
      </c>
      <c r="BK369" s="2026">
        <f>IF(Construction!$F$31=Construction!$R$22,Oeko!DX369,Oeko!GK369)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IF(Construction!$F$31=Construction!$R$22,Oeko!BQ370,Oeko!ED370)</f>
        <v>1</v>
      </c>
      <c r="E370" s="1979">
        <f>IF(Construction!$F$31=Construction!$R$22,Oeko!BR370,Oeko!EE370)</f>
        <v>1</v>
      </c>
      <c r="F370" s="1979">
        <f>IF(Construction!$F$31=Construction!$R$22,Oeko!BS370,Oeko!EF370)</f>
        <v>1</v>
      </c>
      <c r="G370" s="1979">
        <f>IF(Construction!$F$31=Construction!$R$22,Oeko!BT370,Oeko!EG370)</f>
        <v>1</v>
      </c>
      <c r="H370" s="1979">
        <f>IF(Construction!$F$31=Construction!$R$22,Oeko!BU370,Oeko!EH370)</f>
        <v>1</v>
      </c>
      <c r="I370" s="1998">
        <f>IF(Construction!$F$31=Construction!$R$22,Oeko!BV370,Oeko!EI370)</f>
        <v>1</v>
      </c>
      <c r="J370" s="1998">
        <f>IF(Construction!$F$31=Construction!$R$22,Oeko!BW370,Oeko!EJ370)</f>
        <v>1</v>
      </c>
      <c r="K370" s="1998">
        <f>IF(Construction!$F$31=Construction!$R$22,Oeko!BX370,Oeko!EK370)</f>
        <v>1</v>
      </c>
      <c r="L370" s="1998">
        <f>IF(Construction!$F$31=Construction!$R$22,Oeko!BY370,Oeko!EL370)</f>
        <v>1</v>
      </c>
      <c r="M370" s="1998">
        <f>IF(Construction!$F$31=Construction!$R$22,Oeko!BZ370,Oeko!EM370)</f>
        <v>1</v>
      </c>
      <c r="N370" s="1979">
        <f>IF(Construction!$F$31=Construction!$R$22,Oeko!CA370,Oeko!EN370)</f>
        <v>1</v>
      </c>
      <c r="O370" s="1979">
        <f>IF(Construction!$F$31=Construction!$R$22,Oeko!CB370,Oeko!EO370)</f>
        <v>1</v>
      </c>
      <c r="P370" s="1979">
        <f>IF(Construction!$F$31=Construction!$R$22,Oeko!CC370,Oeko!EP370)</f>
        <v>1</v>
      </c>
      <c r="Q370" s="1979">
        <f>IF(Construction!$F$31=Construction!$R$22,Oeko!CD370,Oeko!EQ370)</f>
        <v>1</v>
      </c>
      <c r="R370" s="1979">
        <f>IF(Construction!$F$31=Construction!$R$22,Oeko!CE370,Oeko!ER370)</f>
        <v>1</v>
      </c>
      <c r="S370" s="1998">
        <f>IF(Construction!$F$31=Construction!$R$22,Oeko!CF370,Oeko!ES370)</f>
        <v>1.0000000000000002</v>
      </c>
      <c r="T370" s="1998">
        <f>IF(Construction!$F$31=Construction!$R$22,Oeko!CG370,Oeko!ET370)</f>
        <v>1.0000000000000002</v>
      </c>
      <c r="U370" s="1998">
        <f>IF(Construction!$F$31=Construction!$R$22,Oeko!CH370,Oeko!EU370)</f>
        <v>1.0000000000000002</v>
      </c>
      <c r="V370" s="1998">
        <f>IF(Construction!$F$31=Construction!$R$22,Oeko!CI370,Oeko!EV370)</f>
        <v>1.0000000000000002</v>
      </c>
      <c r="W370" s="1998">
        <f>IF(Construction!$F$31=Construction!$R$22,Oeko!CJ370,Oeko!EW370)</f>
        <v>1.0000000000000002</v>
      </c>
      <c r="X370" s="1979">
        <f>IF(Construction!$F$31=Construction!$R$22,Oeko!CK370,Oeko!EX370)</f>
        <v>1</v>
      </c>
      <c r="Y370" s="1979">
        <f>IF(Construction!$F$31=Construction!$R$22,Oeko!CL370,Oeko!EY370)</f>
        <v>1</v>
      </c>
      <c r="Z370" s="1979">
        <f>IF(Construction!$F$31=Construction!$R$22,Oeko!CM370,Oeko!EZ370)</f>
        <v>1</v>
      </c>
      <c r="AA370" s="1979">
        <f>IF(Construction!$F$31=Construction!$R$22,Oeko!CN370,Oeko!FA370)</f>
        <v>1</v>
      </c>
      <c r="AB370" s="1979">
        <f>IF(Construction!$F$31=Construction!$R$22,Oeko!CO370,Oeko!FB370)</f>
        <v>1</v>
      </c>
      <c r="AC370" s="1998">
        <f>IF(Construction!$F$31=Construction!$R$22,Oeko!CP370,Oeko!FC370)</f>
        <v>1</v>
      </c>
      <c r="AD370" s="1998">
        <f>IF(Construction!$F$31=Construction!$R$22,Oeko!CQ370,Oeko!FD370)</f>
        <v>1</v>
      </c>
      <c r="AE370" s="1998">
        <f>IF(Construction!$F$31=Construction!$R$22,Oeko!CR370,Oeko!FE370)</f>
        <v>1</v>
      </c>
      <c r="AF370" s="1998">
        <f>IF(Construction!$F$31=Construction!$R$22,Oeko!CS370,Oeko!FF370)</f>
        <v>1</v>
      </c>
      <c r="AG370" s="1998">
        <f>IF(Construction!$F$31=Construction!$R$22,Oeko!CT370,Oeko!FG370)</f>
        <v>1</v>
      </c>
      <c r="AH370" s="1979">
        <f>IF(Construction!$F$31=Construction!$R$22,Oeko!CU370,Oeko!FH370)</f>
        <v>1</v>
      </c>
      <c r="AI370" s="1979">
        <f>IF(Construction!$F$31=Construction!$R$22,Oeko!CV370,Oeko!FI370)</f>
        <v>1</v>
      </c>
      <c r="AJ370" s="1979">
        <f>IF(Construction!$F$31=Construction!$R$22,Oeko!CW370,Oeko!FJ370)</f>
        <v>1</v>
      </c>
      <c r="AK370" s="1979">
        <f>IF(Construction!$F$31=Construction!$R$22,Oeko!CX370,Oeko!FK370)</f>
        <v>1</v>
      </c>
      <c r="AL370" s="1979">
        <f>IF(Construction!$F$31=Construction!$R$22,Oeko!CY370,Oeko!FL370)</f>
        <v>1</v>
      </c>
      <c r="AM370" s="1998">
        <f>IF(Construction!$F$31=Construction!$R$22,Oeko!CZ370,Oeko!FM370)</f>
        <v>0.66666666666666663</v>
      </c>
      <c r="AN370" s="1998">
        <f>IF(Construction!$F$31=Construction!$R$22,Oeko!DA370,Oeko!FN370)</f>
        <v>0.66666666666666663</v>
      </c>
      <c r="AO370" s="1998">
        <f>IF(Construction!$F$31=Construction!$R$22,Oeko!DB370,Oeko!FO370)</f>
        <v>0.66666666666666663</v>
      </c>
      <c r="AP370" s="1998">
        <f>IF(Construction!$F$31=Construction!$R$22,Oeko!DC370,Oeko!FP370)</f>
        <v>0.66666666666666663</v>
      </c>
      <c r="AQ370" s="1998">
        <f>IF(Construction!$F$31=Construction!$R$22,Oeko!DD370,Oeko!FQ370)</f>
        <v>0.66666666666666663</v>
      </c>
      <c r="AR370" s="1979">
        <f>IF(Construction!$F$31=Construction!$R$22,Oeko!DE370,Oeko!FR370)</f>
        <v>6.393590534721926</v>
      </c>
      <c r="AS370" s="1979">
        <f>IF(Construction!$F$31=Construction!$R$22,Oeko!DF370,Oeko!FS370)</f>
        <v>6.393590534721926</v>
      </c>
      <c r="AT370" s="1979">
        <f>IF(Construction!$F$31=Construction!$R$22,Oeko!DG370,Oeko!FT370)</f>
        <v>6.393590534721926</v>
      </c>
      <c r="AU370" s="1979">
        <f>IF(Construction!$F$31=Construction!$R$22,Oeko!DH370,Oeko!FU370)</f>
        <v>6.393590534721926</v>
      </c>
      <c r="AV370" s="1979">
        <f>IF(Construction!$F$31=Construction!$R$22,Oeko!DI370,Oeko!FV370)</f>
        <v>6.393590534721926</v>
      </c>
      <c r="AW370" s="1998">
        <f>IF(Construction!$F$31=Construction!$R$22,Oeko!DJ370,Oeko!FW370)</f>
        <v>6.3828999296522442</v>
      </c>
      <c r="AX370" s="1998">
        <f>IF(Construction!$F$31=Construction!$R$22,Oeko!DK370,Oeko!FX370)</f>
        <v>6.3828999296522442</v>
      </c>
      <c r="AY370" s="1998">
        <f>IF(Construction!$F$31=Construction!$R$22,Oeko!DL370,Oeko!FY370)</f>
        <v>6.3828999296522442</v>
      </c>
      <c r="AZ370" s="1998">
        <f>IF(Construction!$F$31=Construction!$R$22,Oeko!DM370,Oeko!FZ370)</f>
        <v>6.3828999296522442</v>
      </c>
      <c r="BA370" s="1998">
        <f>IF(Construction!$F$31=Construction!$R$22,Oeko!DN370,Oeko!GA370)</f>
        <v>6.3828999296522442</v>
      </c>
      <c r="BB370" s="1979">
        <f>IF(Construction!$F$31=Construction!$R$22,Oeko!DO370,Oeko!GB370)</f>
        <v>0.78115301620803501</v>
      </c>
      <c r="BC370" s="1979">
        <f>IF(Construction!$F$31=Construction!$R$22,Oeko!DP370,Oeko!GC370)</f>
        <v>0.78115301620803501</v>
      </c>
      <c r="BD370" s="1979">
        <f>IF(Construction!$F$31=Construction!$R$22,Oeko!DQ370,Oeko!GD370)</f>
        <v>0.78115301620803501</v>
      </c>
      <c r="BE370" s="1979">
        <f>IF(Construction!$F$31=Construction!$R$22,Oeko!DR370,Oeko!GE370)</f>
        <v>0.78115301620803501</v>
      </c>
      <c r="BF370" s="1979">
        <f>IF(Construction!$F$31=Construction!$R$22,Oeko!DS370,Oeko!GF370)</f>
        <v>0.78115301620803501</v>
      </c>
      <c r="BG370" s="1998">
        <f>IF(Construction!$F$31=Construction!$R$22,Oeko!DT370,Oeko!GG370)</f>
        <v>0.78195889917775152</v>
      </c>
      <c r="BH370" s="1998">
        <f>IF(Construction!$F$31=Construction!$R$22,Oeko!DU370,Oeko!GH370)</f>
        <v>0.78195889917775152</v>
      </c>
      <c r="BI370" s="1998">
        <f>IF(Construction!$F$31=Construction!$R$22,Oeko!DV370,Oeko!GI370)</f>
        <v>0.78195889917775152</v>
      </c>
      <c r="BJ370" s="1998">
        <f>IF(Construction!$F$31=Construction!$R$22,Oeko!DW370,Oeko!GJ370)</f>
        <v>0.78195889917775152</v>
      </c>
      <c r="BK370" s="2026">
        <f>IF(Construction!$F$31=Construction!$R$22,Oeko!DX370,Oeko!GK370)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IF(Construction!$F$31=Construction!$R$22,Oeko!BQ371,Oeko!ED371)</f>
        <v>1</v>
      </c>
      <c r="E371" s="1979">
        <f>IF(Construction!$F$31=Construction!$R$22,Oeko!BR371,Oeko!EE371)</f>
        <v>1</v>
      </c>
      <c r="F371" s="1979">
        <f>IF(Construction!$F$31=Construction!$R$22,Oeko!BS371,Oeko!EF371)</f>
        <v>1</v>
      </c>
      <c r="G371" s="1979">
        <f>IF(Construction!$F$31=Construction!$R$22,Oeko!BT371,Oeko!EG371)</f>
        <v>1</v>
      </c>
      <c r="H371" s="1979">
        <f>IF(Construction!$F$31=Construction!$R$22,Oeko!BU371,Oeko!EH371)</f>
        <v>1</v>
      </c>
      <c r="I371" s="1998">
        <f>IF(Construction!$F$31=Construction!$R$22,Oeko!BV371,Oeko!EI371)</f>
        <v>1</v>
      </c>
      <c r="J371" s="1998">
        <f>IF(Construction!$F$31=Construction!$R$22,Oeko!BW371,Oeko!EJ371)</f>
        <v>1</v>
      </c>
      <c r="K371" s="1998">
        <f>IF(Construction!$F$31=Construction!$R$22,Oeko!BX371,Oeko!EK371)</f>
        <v>1</v>
      </c>
      <c r="L371" s="1998">
        <f>IF(Construction!$F$31=Construction!$R$22,Oeko!BY371,Oeko!EL371)</f>
        <v>1</v>
      </c>
      <c r="M371" s="1998">
        <f>IF(Construction!$F$31=Construction!$R$22,Oeko!BZ371,Oeko!EM371)</f>
        <v>1</v>
      </c>
      <c r="N371" s="1979">
        <f>IF(Construction!$F$31=Construction!$R$22,Oeko!CA371,Oeko!EN371)</f>
        <v>1</v>
      </c>
      <c r="O371" s="1979">
        <f>IF(Construction!$F$31=Construction!$R$22,Oeko!CB371,Oeko!EO371)</f>
        <v>1</v>
      </c>
      <c r="P371" s="1979">
        <f>IF(Construction!$F$31=Construction!$R$22,Oeko!CC371,Oeko!EP371)</f>
        <v>1</v>
      </c>
      <c r="Q371" s="1979">
        <f>IF(Construction!$F$31=Construction!$R$22,Oeko!CD371,Oeko!EQ371)</f>
        <v>1</v>
      </c>
      <c r="R371" s="1979">
        <f>IF(Construction!$F$31=Construction!$R$22,Oeko!CE371,Oeko!ER371)</f>
        <v>1</v>
      </c>
      <c r="S371" s="1998">
        <f>IF(Construction!$F$31=Construction!$R$22,Oeko!CF371,Oeko!ES371)</f>
        <v>1</v>
      </c>
      <c r="T371" s="1998">
        <f>IF(Construction!$F$31=Construction!$R$22,Oeko!CG371,Oeko!ET371)</f>
        <v>1</v>
      </c>
      <c r="U371" s="1998">
        <f>IF(Construction!$F$31=Construction!$R$22,Oeko!CH371,Oeko!EU371)</f>
        <v>1</v>
      </c>
      <c r="V371" s="1998">
        <f>IF(Construction!$F$31=Construction!$R$22,Oeko!CI371,Oeko!EV371)</f>
        <v>1</v>
      </c>
      <c r="W371" s="1998">
        <f>IF(Construction!$F$31=Construction!$R$22,Oeko!CJ371,Oeko!EW371)</f>
        <v>1</v>
      </c>
      <c r="X371" s="1979">
        <f>IF(Construction!$F$31=Construction!$R$22,Oeko!CK371,Oeko!EX371)</f>
        <v>1</v>
      </c>
      <c r="Y371" s="1979">
        <f>IF(Construction!$F$31=Construction!$R$22,Oeko!CL371,Oeko!EY371)</f>
        <v>1</v>
      </c>
      <c r="Z371" s="1979">
        <f>IF(Construction!$F$31=Construction!$R$22,Oeko!CM371,Oeko!EZ371)</f>
        <v>1</v>
      </c>
      <c r="AA371" s="1979">
        <f>IF(Construction!$F$31=Construction!$R$22,Oeko!CN371,Oeko!FA371)</f>
        <v>1</v>
      </c>
      <c r="AB371" s="1979">
        <f>IF(Construction!$F$31=Construction!$R$22,Oeko!CO371,Oeko!FB371)</f>
        <v>1</v>
      </c>
      <c r="AC371" s="1998">
        <f>IF(Construction!$F$31=Construction!$R$22,Oeko!CP371,Oeko!FC371)</f>
        <v>1</v>
      </c>
      <c r="AD371" s="1998">
        <f>IF(Construction!$F$31=Construction!$R$22,Oeko!CQ371,Oeko!FD371)</f>
        <v>1</v>
      </c>
      <c r="AE371" s="1998">
        <f>IF(Construction!$F$31=Construction!$R$22,Oeko!CR371,Oeko!FE371)</f>
        <v>1</v>
      </c>
      <c r="AF371" s="1998">
        <f>IF(Construction!$F$31=Construction!$R$22,Oeko!CS371,Oeko!FF371)</f>
        <v>1</v>
      </c>
      <c r="AG371" s="1998">
        <f>IF(Construction!$F$31=Construction!$R$22,Oeko!CT371,Oeko!FG371)</f>
        <v>1</v>
      </c>
      <c r="AH371" s="1979">
        <f>IF(Construction!$F$31=Construction!$R$22,Oeko!CU371,Oeko!FH371)</f>
        <v>1</v>
      </c>
      <c r="AI371" s="1979">
        <f>IF(Construction!$F$31=Construction!$R$22,Oeko!CV371,Oeko!FI371)</f>
        <v>1</v>
      </c>
      <c r="AJ371" s="1979">
        <f>IF(Construction!$F$31=Construction!$R$22,Oeko!CW371,Oeko!FJ371)</f>
        <v>1</v>
      </c>
      <c r="AK371" s="1979">
        <f>IF(Construction!$F$31=Construction!$R$22,Oeko!CX371,Oeko!FK371)</f>
        <v>1</v>
      </c>
      <c r="AL371" s="1979">
        <f>IF(Construction!$F$31=Construction!$R$22,Oeko!CY371,Oeko!FL371)</f>
        <v>1</v>
      </c>
      <c r="AM371" s="1998">
        <f>IF(Construction!$F$31=Construction!$R$22,Oeko!CZ371,Oeko!FM371)</f>
        <v>1</v>
      </c>
      <c r="AN371" s="1998">
        <f>IF(Construction!$F$31=Construction!$R$22,Oeko!DA371,Oeko!FN371)</f>
        <v>1</v>
      </c>
      <c r="AO371" s="1998">
        <f>IF(Construction!$F$31=Construction!$R$22,Oeko!DB371,Oeko!FO371)</f>
        <v>1</v>
      </c>
      <c r="AP371" s="1998">
        <f>IF(Construction!$F$31=Construction!$R$22,Oeko!DC371,Oeko!FP371)</f>
        <v>1</v>
      </c>
      <c r="AQ371" s="1998">
        <f>IF(Construction!$F$31=Construction!$R$22,Oeko!DD371,Oeko!FQ371)</f>
        <v>1</v>
      </c>
      <c r="AR371" s="1979">
        <f>IF(Construction!$F$31=Construction!$R$22,Oeko!DE371,Oeko!FR371)</f>
        <v>1</v>
      </c>
      <c r="AS371" s="1979">
        <f>IF(Construction!$F$31=Construction!$R$22,Oeko!DF371,Oeko!FS371)</f>
        <v>1</v>
      </c>
      <c r="AT371" s="1979">
        <f>IF(Construction!$F$31=Construction!$R$22,Oeko!DG371,Oeko!FT371)</f>
        <v>1</v>
      </c>
      <c r="AU371" s="1979">
        <f>IF(Construction!$F$31=Construction!$R$22,Oeko!DH371,Oeko!FU371)</f>
        <v>1</v>
      </c>
      <c r="AV371" s="1979">
        <f>IF(Construction!$F$31=Construction!$R$22,Oeko!DI371,Oeko!FV371)</f>
        <v>1</v>
      </c>
      <c r="AW371" s="1998">
        <f>IF(Construction!$F$31=Construction!$R$22,Oeko!DJ371,Oeko!FW371)</f>
        <v>1</v>
      </c>
      <c r="AX371" s="1998">
        <f>IF(Construction!$F$31=Construction!$R$22,Oeko!DK371,Oeko!FX371)</f>
        <v>1</v>
      </c>
      <c r="AY371" s="1998">
        <f>IF(Construction!$F$31=Construction!$R$22,Oeko!DL371,Oeko!FY371)</f>
        <v>1</v>
      </c>
      <c r="AZ371" s="1998">
        <f>IF(Construction!$F$31=Construction!$R$22,Oeko!DM371,Oeko!FZ371)</f>
        <v>1</v>
      </c>
      <c r="BA371" s="1998">
        <f>IF(Construction!$F$31=Construction!$R$22,Oeko!DN371,Oeko!GA371)</f>
        <v>1</v>
      </c>
      <c r="BB371" s="1979">
        <f>IF(Construction!$F$31=Construction!$R$22,Oeko!DO371,Oeko!GB371)</f>
        <v>0.12461206483213953</v>
      </c>
      <c r="BC371" s="1979">
        <f>IF(Construction!$F$31=Construction!$R$22,Oeko!DP371,Oeko!GC371)</f>
        <v>0.12461206483213953</v>
      </c>
      <c r="BD371" s="1979">
        <f>IF(Construction!$F$31=Construction!$R$22,Oeko!DQ371,Oeko!GD371)</f>
        <v>0.12461206483213953</v>
      </c>
      <c r="BE371" s="1979">
        <f>IF(Construction!$F$31=Construction!$R$22,Oeko!DR371,Oeko!GE371)</f>
        <v>0.12461206483213953</v>
      </c>
      <c r="BF371" s="1979">
        <f>IF(Construction!$F$31=Construction!$R$22,Oeko!DS371,Oeko!GF371)</f>
        <v>0.12461206483213953</v>
      </c>
      <c r="BG371" s="1998">
        <f>IF(Construction!$F$31=Construction!$R$22,Oeko!DT371,Oeko!GG371)</f>
        <v>0.12783559671100567</v>
      </c>
      <c r="BH371" s="1998">
        <f>IF(Construction!$F$31=Construction!$R$22,Oeko!DU371,Oeko!GH371)</f>
        <v>0.12783559671100567</v>
      </c>
      <c r="BI371" s="1998">
        <f>IF(Construction!$F$31=Construction!$R$22,Oeko!DV371,Oeko!GI371)</f>
        <v>0.12783559671100567</v>
      </c>
      <c r="BJ371" s="1998">
        <f>IF(Construction!$F$31=Construction!$R$22,Oeko!DW371,Oeko!GJ371)</f>
        <v>0.12783559671100567</v>
      </c>
      <c r="BK371" s="2026">
        <f>IF(Construction!$F$31=Construction!$R$22,Oeko!DX371,Oeko!GK371)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IF(Construction!$F$31=Construction!$R$22,Oeko!BQ372,Oeko!ED372)</f>
        <v>1</v>
      </c>
      <c r="E372" s="1979">
        <f>IF(Construction!$F$31=Construction!$R$22,Oeko!BR372,Oeko!EE372)</f>
        <v>1</v>
      </c>
      <c r="F372" s="1979">
        <f>IF(Construction!$F$31=Construction!$R$22,Oeko!BS372,Oeko!EF372)</f>
        <v>1</v>
      </c>
      <c r="G372" s="1979">
        <f>IF(Construction!$F$31=Construction!$R$22,Oeko!BT372,Oeko!EG372)</f>
        <v>1</v>
      </c>
      <c r="H372" s="1979">
        <f>IF(Construction!$F$31=Construction!$R$22,Oeko!BU372,Oeko!EH372)</f>
        <v>1</v>
      </c>
      <c r="I372" s="1998">
        <f>IF(Construction!$F$31=Construction!$R$22,Oeko!BV372,Oeko!EI372)</f>
        <v>1</v>
      </c>
      <c r="J372" s="1998">
        <f>IF(Construction!$F$31=Construction!$R$22,Oeko!BW372,Oeko!EJ372)</f>
        <v>1</v>
      </c>
      <c r="K372" s="1998">
        <f>IF(Construction!$F$31=Construction!$R$22,Oeko!BX372,Oeko!EK372)</f>
        <v>1</v>
      </c>
      <c r="L372" s="1998">
        <f>IF(Construction!$F$31=Construction!$R$22,Oeko!BY372,Oeko!EL372)</f>
        <v>1</v>
      </c>
      <c r="M372" s="1998">
        <f>IF(Construction!$F$31=Construction!$R$22,Oeko!BZ372,Oeko!EM372)</f>
        <v>1</v>
      </c>
      <c r="N372" s="1979">
        <f>IF(Construction!$F$31=Construction!$R$22,Oeko!CA372,Oeko!EN372)</f>
        <v>1</v>
      </c>
      <c r="O372" s="1979">
        <f>IF(Construction!$F$31=Construction!$R$22,Oeko!CB372,Oeko!EO372)</f>
        <v>1</v>
      </c>
      <c r="P372" s="1979">
        <f>IF(Construction!$F$31=Construction!$R$22,Oeko!CC372,Oeko!EP372)</f>
        <v>1</v>
      </c>
      <c r="Q372" s="1979">
        <f>IF(Construction!$F$31=Construction!$R$22,Oeko!CD372,Oeko!EQ372)</f>
        <v>1</v>
      </c>
      <c r="R372" s="1979">
        <f>IF(Construction!$F$31=Construction!$R$22,Oeko!CE372,Oeko!ER372)</f>
        <v>1</v>
      </c>
      <c r="S372" s="1998">
        <f>IF(Construction!$F$31=Construction!$R$22,Oeko!CF372,Oeko!ES372)</f>
        <v>1</v>
      </c>
      <c r="T372" s="1998">
        <f>IF(Construction!$F$31=Construction!$R$22,Oeko!CG372,Oeko!ET372)</f>
        <v>1</v>
      </c>
      <c r="U372" s="1998">
        <f>IF(Construction!$F$31=Construction!$R$22,Oeko!CH372,Oeko!EU372)</f>
        <v>1</v>
      </c>
      <c r="V372" s="1998">
        <f>IF(Construction!$F$31=Construction!$R$22,Oeko!CI372,Oeko!EV372)</f>
        <v>1</v>
      </c>
      <c r="W372" s="1998">
        <f>IF(Construction!$F$31=Construction!$R$22,Oeko!CJ372,Oeko!EW372)</f>
        <v>1</v>
      </c>
      <c r="X372" s="1979">
        <f>IF(Construction!$F$31=Construction!$R$22,Oeko!CK372,Oeko!EX372)</f>
        <v>1</v>
      </c>
      <c r="Y372" s="1979">
        <f>IF(Construction!$F$31=Construction!$R$22,Oeko!CL372,Oeko!EY372)</f>
        <v>1</v>
      </c>
      <c r="Z372" s="1979">
        <f>IF(Construction!$F$31=Construction!$R$22,Oeko!CM372,Oeko!EZ372)</f>
        <v>1</v>
      </c>
      <c r="AA372" s="1979">
        <f>IF(Construction!$F$31=Construction!$R$22,Oeko!CN372,Oeko!FA372)</f>
        <v>1</v>
      </c>
      <c r="AB372" s="1979">
        <f>IF(Construction!$F$31=Construction!$R$22,Oeko!CO372,Oeko!FB372)</f>
        <v>1</v>
      </c>
      <c r="AC372" s="1998">
        <f>IF(Construction!$F$31=Construction!$R$22,Oeko!CP372,Oeko!FC372)</f>
        <v>1</v>
      </c>
      <c r="AD372" s="1998">
        <f>IF(Construction!$F$31=Construction!$R$22,Oeko!CQ372,Oeko!FD372)</f>
        <v>1</v>
      </c>
      <c r="AE372" s="1998">
        <f>IF(Construction!$F$31=Construction!$R$22,Oeko!CR372,Oeko!FE372)</f>
        <v>1</v>
      </c>
      <c r="AF372" s="1998">
        <f>IF(Construction!$F$31=Construction!$R$22,Oeko!CS372,Oeko!FF372)</f>
        <v>1</v>
      </c>
      <c r="AG372" s="1998">
        <f>IF(Construction!$F$31=Construction!$R$22,Oeko!CT372,Oeko!FG372)</f>
        <v>1</v>
      </c>
      <c r="AH372" s="1979">
        <f>IF(Construction!$F$31=Construction!$R$22,Oeko!CU372,Oeko!FH372)</f>
        <v>1</v>
      </c>
      <c r="AI372" s="1979">
        <f>IF(Construction!$F$31=Construction!$R$22,Oeko!CV372,Oeko!FI372)</f>
        <v>1</v>
      </c>
      <c r="AJ372" s="1979">
        <f>IF(Construction!$F$31=Construction!$R$22,Oeko!CW372,Oeko!FJ372)</f>
        <v>1</v>
      </c>
      <c r="AK372" s="1979">
        <f>IF(Construction!$F$31=Construction!$R$22,Oeko!CX372,Oeko!FK372)</f>
        <v>1</v>
      </c>
      <c r="AL372" s="1979">
        <f>IF(Construction!$F$31=Construction!$R$22,Oeko!CY372,Oeko!FL372)</f>
        <v>1</v>
      </c>
      <c r="AM372" s="1998">
        <f>IF(Construction!$F$31=Construction!$R$22,Oeko!CZ372,Oeko!FM372)</f>
        <v>1.1666666666666665</v>
      </c>
      <c r="AN372" s="1998">
        <f>IF(Construction!$F$31=Construction!$R$22,Oeko!DA372,Oeko!FN372)</f>
        <v>1.1666666666666665</v>
      </c>
      <c r="AO372" s="1998">
        <f>IF(Construction!$F$31=Construction!$R$22,Oeko!DB372,Oeko!FO372)</f>
        <v>1.1666666666666665</v>
      </c>
      <c r="AP372" s="1998">
        <f>IF(Construction!$F$31=Construction!$R$22,Oeko!DC372,Oeko!FP372)</f>
        <v>1.1666666666666665</v>
      </c>
      <c r="AQ372" s="1998">
        <f>IF(Construction!$F$31=Construction!$R$22,Oeko!DD372,Oeko!FQ372)</f>
        <v>1.1666666666666665</v>
      </c>
      <c r="AR372" s="1979">
        <f>IF(Construction!$F$31=Construction!$R$22,Oeko!DE372,Oeko!FR372)</f>
        <v>1</v>
      </c>
      <c r="AS372" s="1979">
        <f>IF(Construction!$F$31=Construction!$R$22,Oeko!DF372,Oeko!FS372)</f>
        <v>1</v>
      </c>
      <c r="AT372" s="1979">
        <f>IF(Construction!$F$31=Construction!$R$22,Oeko!DG372,Oeko!FT372)</f>
        <v>1</v>
      </c>
      <c r="AU372" s="1979">
        <f>IF(Construction!$F$31=Construction!$R$22,Oeko!DH372,Oeko!FU372)</f>
        <v>1</v>
      </c>
      <c r="AV372" s="1979">
        <f>IF(Construction!$F$31=Construction!$R$22,Oeko!DI372,Oeko!FV372)</f>
        <v>1</v>
      </c>
      <c r="AW372" s="1998">
        <f>IF(Construction!$F$31=Construction!$R$22,Oeko!DJ372,Oeko!FW372)</f>
        <v>1</v>
      </c>
      <c r="AX372" s="1998">
        <f>IF(Construction!$F$31=Construction!$R$22,Oeko!DK372,Oeko!FX372)</f>
        <v>1</v>
      </c>
      <c r="AY372" s="1998">
        <f>IF(Construction!$F$31=Construction!$R$22,Oeko!DL372,Oeko!FY372)</f>
        <v>1</v>
      </c>
      <c r="AZ372" s="1998">
        <f>IF(Construction!$F$31=Construction!$R$22,Oeko!DM372,Oeko!FZ372)</f>
        <v>1</v>
      </c>
      <c r="BA372" s="1998">
        <f>IF(Construction!$F$31=Construction!$R$22,Oeko!DN372,Oeko!GA372)</f>
        <v>1</v>
      </c>
      <c r="BB372" s="1979">
        <f>IF(Construction!$F$31=Construction!$R$22,Oeko!DO372,Oeko!GB372)</f>
        <v>0.12461206483213953</v>
      </c>
      <c r="BC372" s="1979">
        <f>IF(Construction!$F$31=Construction!$R$22,Oeko!DP372,Oeko!GC372)</f>
        <v>0.12461206483213953</v>
      </c>
      <c r="BD372" s="1979">
        <f>IF(Construction!$F$31=Construction!$R$22,Oeko!DQ372,Oeko!GD372)</f>
        <v>0.12461206483213953</v>
      </c>
      <c r="BE372" s="1979">
        <f>IF(Construction!$F$31=Construction!$R$22,Oeko!DR372,Oeko!GE372)</f>
        <v>0.12461206483213953</v>
      </c>
      <c r="BF372" s="1979">
        <f>IF(Construction!$F$31=Construction!$R$22,Oeko!DS372,Oeko!GF372)</f>
        <v>0.12461206483213953</v>
      </c>
      <c r="BG372" s="1998">
        <f>IF(Construction!$F$31=Construction!$R$22,Oeko!DT372,Oeko!GG372)</f>
        <v>0.12783559671100567</v>
      </c>
      <c r="BH372" s="1998">
        <f>IF(Construction!$F$31=Construction!$R$22,Oeko!DU372,Oeko!GH372)</f>
        <v>0.12783559671100567</v>
      </c>
      <c r="BI372" s="1998">
        <f>IF(Construction!$F$31=Construction!$R$22,Oeko!DV372,Oeko!GI372)</f>
        <v>0.12783559671100567</v>
      </c>
      <c r="BJ372" s="1998">
        <f>IF(Construction!$F$31=Construction!$R$22,Oeko!DW372,Oeko!GJ372)</f>
        <v>0.12783559671100567</v>
      </c>
      <c r="BK372" s="2026">
        <f>IF(Construction!$F$31=Construction!$R$22,Oeko!DX372,Oeko!GK372)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IF(Construction!$F$31=Construction!$R$22,Oeko!BQ373,Oeko!ED373)</f>
        <v>1.3333333333333333</v>
      </c>
      <c r="E373" s="1979">
        <f>IF(Construction!$F$31=Construction!$R$22,Oeko!BR373,Oeko!EE373)</f>
        <v>1.3333333333333333</v>
      </c>
      <c r="F373" s="1979">
        <f>IF(Construction!$F$31=Construction!$R$22,Oeko!BS373,Oeko!EF373)</f>
        <v>1.3333333333333333</v>
      </c>
      <c r="G373" s="1979">
        <f>IF(Construction!$F$31=Construction!$R$22,Oeko!BT373,Oeko!EG373)</f>
        <v>1.3333333333333333</v>
      </c>
      <c r="H373" s="1979">
        <f>IF(Construction!$F$31=Construction!$R$22,Oeko!BU373,Oeko!EH373)</f>
        <v>1.3333333333333333</v>
      </c>
      <c r="I373" s="1998">
        <f>IF(Construction!$F$31=Construction!$R$22,Oeko!BV373,Oeko!EI373)</f>
        <v>1</v>
      </c>
      <c r="J373" s="1998">
        <f>IF(Construction!$F$31=Construction!$R$22,Oeko!BW373,Oeko!EJ373)</f>
        <v>1</v>
      </c>
      <c r="K373" s="1998">
        <f>IF(Construction!$F$31=Construction!$R$22,Oeko!BX373,Oeko!EK373)</f>
        <v>1</v>
      </c>
      <c r="L373" s="1998">
        <f>IF(Construction!$F$31=Construction!$R$22,Oeko!BY373,Oeko!EL373)</f>
        <v>1</v>
      </c>
      <c r="M373" s="1998">
        <f>IF(Construction!$F$31=Construction!$R$22,Oeko!BZ373,Oeko!EM373)</f>
        <v>1</v>
      </c>
      <c r="N373" s="1979">
        <f>IF(Construction!$F$31=Construction!$R$22,Oeko!CA373,Oeko!EN373)</f>
        <v>1</v>
      </c>
      <c r="O373" s="1979">
        <f>IF(Construction!$F$31=Construction!$R$22,Oeko!CB373,Oeko!EO373)</f>
        <v>1</v>
      </c>
      <c r="P373" s="1979">
        <f>IF(Construction!$F$31=Construction!$R$22,Oeko!CC373,Oeko!EP373)</f>
        <v>1</v>
      </c>
      <c r="Q373" s="1979">
        <f>IF(Construction!$F$31=Construction!$R$22,Oeko!CD373,Oeko!EQ373)</f>
        <v>1</v>
      </c>
      <c r="R373" s="1979">
        <f>IF(Construction!$F$31=Construction!$R$22,Oeko!CE373,Oeko!ER373)</f>
        <v>1</v>
      </c>
      <c r="S373" s="1998">
        <f>IF(Construction!$F$31=Construction!$R$22,Oeko!CF373,Oeko!ES373)</f>
        <v>1</v>
      </c>
      <c r="T373" s="1998">
        <f>IF(Construction!$F$31=Construction!$R$22,Oeko!CG373,Oeko!ET373)</f>
        <v>1</v>
      </c>
      <c r="U373" s="1998">
        <f>IF(Construction!$F$31=Construction!$R$22,Oeko!CH373,Oeko!EU373)</f>
        <v>1</v>
      </c>
      <c r="V373" s="1998">
        <f>IF(Construction!$F$31=Construction!$R$22,Oeko!CI373,Oeko!EV373)</f>
        <v>1</v>
      </c>
      <c r="W373" s="1998">
        <f>IF(Construction!$F$31=Construction!$R$22,Oeko!CJ373,Oeko!EW373)</f>
        <v>1</v>
      </c>
      <c r="X373" s="1979">
        <f>IF(Construction!$F$31=Construction!$R$22,Oeko!CK373,Oeko!EX373)</f>
        <v>1</v>
      </c>
      <c r="Y373" s="1979">
        <f>IF(Construction!$F$31=Construction!$R$22,Oeko!CL373,Oeko!EY373)</f>
        <v>1</v>
      </c>
      <c r="Z373" s="1979">
        <f>IF(Construction!$F$31=Construction!$R$22,Oeko!CM373,Oeko!EZ373)</f>
        <v>1</v>
      </c>
      <c r="AA373" s="1979">
        <f>IF(Construction!$F$31=Construction!$R$22,Oeko!CN373,Oeko!FA373)</f>
        <v>1</v>
      </c>
      <c r="AB373" s="1979">
        <f>IF(Construction!$F$31=Construction!$R$22,Oeko!CO373,Oeko!FB373)</f>
        <v>1</v>
      </c>
      <c r="AC373" s="1998">
        <f>IF(Construction!$F$31=Construction!$R$22,Oeko!CP373,Oeko!FC373)</f>
        <v>1</v>
      </c>
      <c r="AD373" s="1998">
        <f>IF(Construction!$F$31=Construction!$R$22,Oeko!CQ373,Oeko!FD373)</f>
        <v>1</v>
      </c>
      <c r="AE373" s="1998">
        <f>IF(Construction!$F$31=Construction!$R$22,Oeko!CR373,Oeko!FE373)</f>
        <v>1</v>
      </c>
      <c r="AF373" s="1998">
        <f>IF(Construction!$F$31=Construction!$R$22,Oeko!CS373,Oeko!FF373)</f>
        <v>1</v>
      </c>
      <c r="AG373" s="1998">
        <f>IF(Construction!$F$31=Construction!$R$22,Oeko!CT373,Oeko!FG373)</f>
        <v>1</v>
      </c>
      <c r="AH373" s="1979">
        <f>IF(Construction!$F$31=Construction!$R$22,Oeko!CU373,Oeko!FH373)</f>
        <v>1</v>
      </c>
      <c r="AI373" s="1979">
        <f>IF(Construction!$F$31=Construction!$R$22,Oeko!CV373,Oeko!FI373)</f>
        <v>1</v>
      </c>
      <c r="AJ373" s="1979">
        <f>IF(Construction!$F$31=Construction!$R$22,Oeko!CW373,Oeko!FJ373)</f>
        <v>1</v>
      </c>
      <c r="AK373" s="1979">
        <f>IF(Construction!$F$31=Construction!$R$22,Oeko!CX373,Oeko!FK373)</f>
        <v>1</v>
      </c>
      <c r="AL373" s="1979">
        <f>IF(Construction!$F$31=Construction!$R$22,Oeko!CY373,Oeko!FL373)</f>
        <v>1</v>
      </c>
      <c r="AM373" s="1998">
        <f>IF(Construction!$F$31=Construction!$R$22,Oeko!CZ373,Oeko!FM373)</f>
        <v>1.3333333333333333</v>
      </c>
      <c r="AN373" s="1998">
        <f>IF(Construction!$F$31=Construction!$R$22,Oeko!DA373,Oeko!FN373)</f>
        <v>1.3333333333333333</v>
      </c>
      <c r="AO373" s="1998">
        <f>IF(Construction!$F$31=Construction!$R$22,Oeko!DB373,Oeko!FO373)</f>
        <v>1.3333333333333333</v>
      </c>
      <c r="AP373" s="1998">
        <f>IF(Construction!$F$31=Construction!$R$22,Oeko!DC373,Oeko!FP373)</f>
        <v>1.3333333333333333</v>
      </c>
      <c r="AQ373" s="1998">
        <f>IF(Construction!$F$31=Construction!$R$22,Oeko!DD373,Oeko!FQ373)</f>
        <v>1.3333333333333333</v>
      </c>
      <c r="AR373" s="1979">
        <f>IF(Construction!$F$31=Construction!$R$22,Oeko!DE373,Oeko!FR373)</f>
        <v>1</v>
      </c>
      <c r="AS373" s="1979">
        <f>IF(Construction!$F$31=Construction!$R$22,Oeko!DF373,Oeko!FS373)</f>
        <v>1</v>
      </c>
      <c r="AT373" s="1979">
        <f>IF(Construction!$F$31=Construction!$R$22,Oeko!DG373,Oeko!FT373)</f>
        <v>1</v>
      </c>
      <c r="AU373" s="1979">
        <f>IF(Construction!$F$31=Construction!$R$22,Oeko!DH373,Oeko!FU373)</f>
        <v>1</v>
      </c>
      <c r="AV373" s="1979">
        <f>IF(Construction!$F$31=Construction!$R$22,Oeko!DI373,Oeko!FV373)</f>
        <v>1</v>
      </c>
      <c r="AW373" s="1998">
        <f>IF(Construction!$F$31=Construction!$R$22,Oeko!DJ373,Oeko!FW373)</f>
        <v>1</v>
      </c>
      <c r="AX373" s="1998">
        <f>IF(Construction!$F$31=Construction!$R$22,Oeko!DK373,Oeko!FX373)</f>
        <v>1</v>
      </c>
      <c r="AY373" s="1998">
        <f>IF(Construction!$F$31=Construction!$R$22,Oeko!DL373,Oeko!FY373)</f>
        <v>1</v>
      </c>
      <c r="AZ373" s="1998">
        <f>IF(Construction!$F$31=Construction!$R$22,Oeko!DM373,Oeko!FZ373)</f>
        <v>1</v>
      </c>
      <c r="BA373" s="1998">
        <f>IF(Construction!$F$31=Construction!$R$22,Oeko!DN373,Oeko!GA373)</f>
        <v>1</v>
      </c>
      <c r="BB373" s="1979">
        <f>IF(Construction!$F$31=Construction!$R$22,Oeko!DO373,Oeko!GB373)</f>
        <v>0.12461206483213953</v>
      </c>
      <c r="BC373" s="1979">
        <f>IF(Construction!$F$31=Construction!$R$22,Oeko!DP373,Oeko!GC373)</f>
        <v>0.12461206483213953</v>
      </c>
      <c r="BD373" s="1979">
        <f>IF(Construction!$F$31=Construction!$R$22,Oeko!DQ373,Oeko!GD373)</f>
        <v>0.12461206483213953</v>
      </c>
      <c r="BE373" s="1979">
        <f>IF(Construction!$F$31=Construction!$R$22,Oeko!DR373,Oeko!GE373)</f>
        <v>0.12461206483213953</v>
      </c>
      <c r="BF373" s="1979">
        <f>IF(Construction!$F$31=Construction!$R$22,Oeko!DS373,Oeko!GF373)</f>
        <v>0.12461206483213953</v>
      </c>
      <c r="BG373" s="1998">
        <f>IF(Construction!$F$31=Construction!$R$22,Oeko!DT373,Oeko!GG373)</f>
        <v>0.12783559671100567</v>
      </c>
      <c r="BH373" s="1998">
        <f>IF(Construction!$F$31=Construction!$R$22,Oeko!DU373,Oeko!GH373)</f>
        <v>0.12783559671100567</v>
      </c>
      <c r="BI373" s="1998">
        <f>IF(Construction!$F$31=Construction!$R$22,Oeko!DV373,Oeko!GI373)</f>
        <v>0.12783559671100567</v>
      </c>
      <c r="BJ373" s="1998">
        <f>IF(Construction!$F$31=Construction!$R$22,Oeko!DW373,Oeko!GJ373)</f>
        <v>0.12783559671100567</v>
      </c>
      <c r="BK373" s="2026">
        <f>IF(Construction!$F$31=Construction!$R$22,Oeko!DX373,Oeko!GK373)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Fondation superficielle</v>
      </c>
      <c r="D374" s="1979">
        <f>IF(Construction!$F$31=Construction!$R$22,Oeko!BQ374,Oeko!ED374)</f>
        <v>1</v>
      </c>
      <c r="E374" s="1979">
        <f>IF(Construction!$F$31=Construction!$R$22,Oeko!BR374,Oeko!EE374)</f>
        <v>1</v>
      </c>
      <c r="F374" s="1979">
        <f>IF(Construction!$F$31=Construction!$R$22,Oeko!BS374,Oeko!EF374)</f>
        <v>1</v>
      </c>
      <c r="G374" s="1979">
        <f>IF(Construction!$F$31=Construction!$R$22,Oeko!BT374,Oeko!EG374)</f>
        <v>1</v>
      </c>
      <c r="H374" s="1979">
        <f>IF(Construction!$F$31=Construction!$R$22,Oeko!BU374,Oeko!EH374)</f>
        <v>1</v>
      </c>
      <c r="I374" s="1998">
        <f>IF(Construction!$F$31=Construction!$R$22,Oeko!BV374,Oeko!EI374)</f>
        <v>1</v>
      </c>
      <c r="J374" s="1998">
        <f>IF(Construction!$F$31=Construction!$R$22,Oeko!BW374,Oeko!EJ374)</f>
        <v>1</v>
      </c>
      <c r="K374" s="1998">
        <f>IF(Construction!$F$31=Construction!$R$22,Oeko!BX374,Oeko!EK374)</f>
        <v>1</v>
      </c>
      <c r="L374" s="1998">
        <f>IF(Construction!$F$31=Construction!$R$22,Oeko!BY374,Oeko!EL374)</f>
        <v>1</v>
      </c>
      <c r="M374" s="1998">
        <f>IF(Construction!$F$31=Construction!$R$22,Oeko!BZ374,Oeko!EM374)</f>
        <v>1</v>
      </c>
      <c r="N374" s="1979">
        <f>IF(Construction!$F$31=Construction!$R$22,Oeko!CA374,Oeko!EN374)</f>
        <v>1</v>
      </c>
      <c r="O374" s="1979">
        <f>IF(Construction!$F$31=Construction!$R$22,Oeko!CB374,Oeko!EO374)</f>
        <v>1</v>
      </c>
      <c r="P374" s="1979">
        <f>IF(Construction!$F$31=Construction!$R$22,Oeko!CC374,Oeko!EP374)</f>
        <v>1</v>
      </c>
      <c r="Q374" s="1979">
        <f>IF(Construction!$F$31=Construction!$R$22,Oeko!CD374,Oeko!EQ374)</f>
        <v>1</v>
      </c>
      <c r="R374" s="1979">
        <f>IF(Construction!$F$31=Construction!$R$22,Oeko!CE374,Oeko!ER374)</f>
        <v>1</v>
      </c>
      <c r="S374" s="1998">
        <f>IF(Construction!$F$31=Construction!$R$22,Oeko!CF374,Oeko!ES374)</f>
        <v>1</v>
      </c>
      <c r="T374" s="1998">
        <f>IF(Construction!$F$31=Construction!$R$22,Oeko!CG374,Oeko!ET374)</f>
        <v>1</v>
      </c>
      <c r="U374" s="1998">
        <f>IF(Construction!$F$31=Construction!$R$22,Oeko!CH374,Oeko!EU374)</f>
        <v>1</v>
      </c>
      <c r="V374" s="1998">
        <f>IF(Construction!$F$31=Construction!$R$22,Oeko!CI374,Oeko!EV374)</f>
        <v>1</v>
      </c>
      <c r="W374" s="1998">
        <f>IF(Construction!$F$31=Construction!$R$22,Oeko!CJ374,Oeko!EW374)</f>
        <v>1</v>
      </c>
      <c r="X374" s="1979">
        <f>IF(Construction!$F$31=Construction!$R$22,Oeko!CK374,Oeko!EX374)</f>
        <v>1</v>
      </c>
      <c r="Y374" s="1979">
        <f>IF(Construction!$F$31=Construction!$R$22,Oeko!CL374,Oeko!EY374)</f>
        <v>1</v>
      </c>
      <c r="Z374" s="1979">
        <f>IF(Construction!$F$31=Construction!$R$22,Oeko!CM374,Oeko!EZ374)</f>
        <v>1</v>
      </c>
      <c r="AA374" s="1979">
        <f>IF(Construction!$F$31=Construction!$R$22,Oeko!CN374,Oeko!FA374)</f>
        <v>1</v>
      </c>
      <c r="AB374" s="1979">
        <f>IF(Construction!$F$31=Construction!$R$22,Oeko!CO374,Oeko!FB374)</f>
        <v>1</v>
      </c>
      <c r="AC374" s="1998">
        <f>IF(Construction!$F$31=Construction!$R$22,Oeko!CP374,Oeko!FC374)</f>
        <v>1</v>
      </c>
      <c r="AD374" s="1998">
        <f>IF(Construction!$F$31=Construction!$R$22,Oeko!CQ374,Oeko!FD374)</f>
        <v>1</v>
      </c>
      <c r="AE374" s="1998">
        <f>IF(Construction!$F$31=Construction!$R$22,Oeko!CR374,Oeko!FE374)</f>
        <v>1</v>
      </c>
      <c r="AF374" s="1998">
        <f>IF(Construction!$F$31=Construction!$R$22,Oeko!CS374,Oeko!FF374)</f>
        <v>1</v>
      </c>
      <c r="AG374" s="1998">
        <f>IF(Construction!$F$31=Construction!$R$22,Oeko!CT374,Oeko!FG374)</f>
        <v>1</v>
      </c>
      <c r="AH374" s="1979">
        <f>IF(Construction!$F$31=Construction!$R$22,Oeko!CU374,Oeko!FH374)</f>
        <v>1</v>
      </c>
      <c r="AI374" s="1979">
        <f>IF(Construction!$F$31=Construction!$R$22,Oeko!CV374,Oeko!FI374)</f>
        <v>1</v>
      </c>
      <c r="AJ374" s="1979">
        <f>IF(Construction!$F$31=Construction!$R$22,Oeko!CW374,Oeko!FJ374)</f>
        <v>1</v>
      </c>
      <c r="AK374" s="1979">
        <f>IF(Construction!$F$31=Construction!$R$22,Oeko!CX374,Oeko!FK374)</f>
        <v>1</v>
      </c>
      <c r="AL374" s="1979">
        <f>IF(Construction!$F$31=Construction!$R$22,Oeko!CY374,Oeko!FL374)</f>
        <v>1</v>
      </c>
      <c r="AM374" s="1998">
        <f>IF(Construction!$F$31=Construction!$R$22,Oeko!CZ374,Oeko!FM374)</f>
        <v>1</v>
      </c>
      <c r="AN374" s="1998">
        <f>IF(Construction!$F$31=Construction!$R$22,Oeko!DA374,Oeko!FN374)</f>
        <v>1</v>
      </c>
      <c r="AO374" s="1998">
        <f>IF(Construction!$F$31=Construction!$R$22,Oeko!DB374,Oeko!FO374)</f>
        <v>1</v>
      </c>
      <c r="AP374" s="1998">
        <f>IF(Construction!$F$31=Construction!$R$22,Oeko!DC374,Oeko!FP374)</f>
        <v>1</v>
      </c>
      <c r="AQ374" s="1998">
        <f>IF(Construction!$F$31=Construction!$R$22,Oeko!DD374,Oeko!FQ374)</f>
        <v>1</v>
      </c>
      <c r="AR374" s="1979">
        <f>IF(Construction!$F$31=Construction!$R$22,Oeko!DE374,Oeko!FR374)</f>
        <v>1</v>
      </c>
      <c r="AS374" s="1979">
        <f>IF(Construction!$F$31=Construction!$R$22,Oeko!DF374,Oeko!FS374)</f>
        <v>1</v>
      </c>
      <c r="AT374" s="1979">
        <f>IF(Construction!$F$31=Construction!$R$22,Oeko!DG374,Oeko!FT374)</f>
        <v>1</v>
      </c>
      <c r="AU374" s="1979">
        <f>IF(Construction!$F$31=Construction!$R$22,Oeko!DH374,Oeko!FU374)</f>
        <v>1</v>
      </c>
      <c r="AV374" s="1979">
        <f>IF(Construction!$F$31=Construction!$R$22,Oeko!DI374,Oeko!FV374)</f>
        <v>1</v>
      </c>
      <c r="AW374" s="1998">
        <f>IF(Construction!$F$31=Construction!$R$22,Oeko!DJ374,Oeko!FW374)</f>
        <v>1</v>
      </c>
      <c r="AX374" s="1998">
        <f>IF(Construction!$F$31=Construction!$R$22,Oeko!DK374,Oeko!FX374)</f>
        <v>1</v>
      </c>
      <c r="AY374" s="1998">
        <f>IF(Construction!$F$31=Construction!$R$22,Oeko!DL374,Oeko!FY374)</f>
        <v>1</v>
      </c>
      <c r="AZ374" s="1998">
        <f>IF(Construction!$F$31=Construction!$R$22,Oeko!DM374,Oeko!FZ374)</f>
        <v>1</v>
      </c>
      <c r="BA374" s="1998">
        <f>IF(Construction!$F$31=Construction!$R$22,Oeko!DN374,Oeko!GA374)</f>
        <v>1</v>
      </c>
      <c r="BB374" s="1979">
        <f>IF(Construction!$F$31=Construction!$R$22,Oeko!DO374,Oeko!GB374)</f>
        <v>1</v>
      </c>
      <c r="BC374" s="1979">
        <f>IF(Construction!$F$31=Construction!$R$22,Oeko!DP374,Oeko!GC374)</f>
        <v>1</v>
      </c>
      <c r="BD374" s="1979">
        <f>IF(Construction!$F$31=Construction!$R$22,Oeko!DQ374,Oeko!GD374)</f>
        <v>1</v>
      </c>
      <c r="BE374" s="1979">
        <f>IF(Construction!$F$31=Construction!$R$22,Oeko!DR374,Oeko!GE374)</f>
        <v>1</v>
      </c>
      <c r="BF374" s="1979">
        <f>IF(Construction!$F$31=Construction!$R$22,Oeko!DS374,Oeko!GF374)</f>
        <v>1</v>
      </c>
      <c r="BG374" s="1998">
        <f>IF(Construction!$F$31=Construction!$R$22,Oeko!DT374,Oeko!GG374)</f>
        <v>1</v>
      </c>
      <c r="BH374" s="1998">
        <f>IF(Construction!$F$31=Construction!$R$22,Oeko!DU374,Oeko!GH374)</f>
        <v>1</v>
      </c>
      <c r="BI374" s="1998">
        <f>IF(Construction!$F$31=Construction!$R$22,Oeko!DV374,Oeko!GI374)</f>
        <v>1</v>
      </c>
      <c r="BJ374" s="1998">
        <f>IF(Construction!$F$31=Construction!$R$22,Oeko!DW374,Oeko!GJ374)</f>
        <v>1</v>
      </c>
      <c r="BK374" s="2026">
        <f>IF(Construction!$F$31=Construction!$R$22,Oeko!DX374,Oeko!GK374)</f>
        <v>1</v>
      </c>
      <c r="BN374" s="2022"/>
      <c r="BO374" s="2">
        <v>29</v>
      </c>
      <c r="BP374" s="2" t="str">
        <f>$AD$13</f>
        <v>Fondation superficielle</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Fondation superficielle</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Micro-pieux</v>
      </c>
      <c r="D375" s="1979">
        <f>IF(Construction!$F$31=Construction!$R$22,Oeko!BQ375,Oeko!ED375)</f>
        <v>1</v>
      </c>
      <c r="E375" s="1979">
        <f>IF(Construction!$F$31=Construction!$R$22,Oeko!BR375,Oeko!EE375)</f>
        <v>1</v>
      </c>
      <c r="F375" s="1979">
        <f>IF(Construction!$F$31=Construction!$R$22,Oeko!BS375,Oeko!EF375)</f>
        <v>1</v>
      </c>
      <c r="G375" s="1979">
        <f>IF(Construction!$F$31=Construction!$R$22,Oeko!BT375,Oeko!EG375)</f>
        <v>1</v>
      </c>
      <c r="H375" s="1979">
        <f>IF(Construction!$F$31=Construction!$R$22,Oeko!BU375,Oeko!EH375)</f>
        <v>1</v>
      </c>
      <c r="I375" s="1998">
        <f>IF(Construction!$F$31=Construction!$R$22,Oeko!BV375,Oeko!EI375)</f>
        <v>1</v>
      </c>
      <c r="J375" s="1998">
        <f>IF(Construction!$F$31=Construction!$R$22,Oeko!BW375,Oeko!EJ375)</f>
        <v>1</v>
      </c>
      <c r="K375" s="1998">
        <f>IF(Construction!$F$31=Construction!$R$22,Oeko!BX375,Oeko!EK375)</f>
        <v>1</v>
      </c>
      <c r="L375" s="1998">
        <f>IF(Construction!$F$31=Construction!$R$22,Oeko!BY375,Oeko!EL375)</f>
        <v>1</v>
      </c>
      <c r="M375" s="1998">
        <f>IF(Construction!$F$31=Construction!$R$22,Oeko!BZ375,Oeko!EM375)</f>
        <v>1</v>
      </c>
      <c r="N375" s="1979">
        <f>IF(Construction!$F$31=Construction!$R$22,Oeko!CA375,Oeko!EN375)</f>
        <v>1</v>
      </c>
      <c r="O375" s="1979">
        <f>IF(Construction!$F$31=Construction!$R$22,Oeko!CB375,Oeko!EO375)</f>
        <v>1</v>
      </c>
      <c r="P375" s="1979">
        <f>IF(Construction!$F$31=Construction!$R$22,Oeko!CC375,Oeko!EP375)</f>
        <v>1</v>
      </c>
      <c r="Q375" s="1979">
        <f>IF(Construction!$F$31=Construction!$R$22,Oeko!CD375,Oeko!EQ375)</f>
        <v>1</v>
      </c>
      <c r="R375" s="1979">
        <f>IF(Construction!$F$31=Construction!$R$22,Oeko!CE375,Oeko!ER375)</f>
        <v>1</v>
      </c>
      <c r="S375" s="1998">
        <f>IF(Construction!$F$31=Construction!$R$22,Oeko!CF375,Oeko!ES375)</f>
        <v>1</v>
      </c>
      <c r="T375" s="1998">
        <f>IF(Construction!$F$31=Construction!$R$22,Oeko!CG375,Oeko!ET375)</f>
        <v>1</v>
      </c>
      <c r="U375" s="1998">
        <f>IF(Construction!$F$31=Construction!$R$22,Oeko!CH375,Oeko!EU375)</f>
        <v>1</v>
      </c>
      <c r="V375" s="1998">
        <f>IF(Construction!$F$31=Construction!$R$22,Oeko!CI375,Oeko!EV375)</f>
        <v>1</v>
      </c>
      <c r="W375" s="1998">
        <f>IF(Construction!$F$31=Construction!$R$22,Oeko!CJ375,Oeko!EW375)</f>
        <v>1</v>
      </c>
      <c r="X375" s="1979">
        <f>IF(Construction!$F$31=Construction!$R$22,Oeko!CK375,Oeko!EX375)</f>
        <v>1</v>
      </c>
      <c r="Y375" s="1979">
        <f>IF(Construction!$F$31=Construction!$R$22,Oeko!CL375,Oeko!EY375)</f>
        <v>1</v>
      </c>
      <c r="Z375" s="1979">
        <f>IF(Construction!$F$31=Construction!$R$22,Oeko!CM375,Oeko!EZ375)</f>
        <v>1</v>
      </c>
      <c r="AA375" s="1979">
        <f>IF(Construction!$F$31=Construction!$R$22,Oeko!CN375,Oeko!FA375)</f>
        <v>1</v>
      </c>
      <c r="AB375" s="1979">
        <f>IF(Construction!$F$31=Construction!$R$22,Oeko!CO375,Oeko!FB375)</f>
        <v>1</v>
      </c>
      <c r="AC375" s="1998">
        <f>IF(Construction!$F$31=Construction!$R$22,Oeko!CP375,Oeko!FC375)</f>
        <v>1</v>
      </c>
      <c r="AD375" s="1998">
        <f>IF(Construction!$F$31=Construction!$R$22,Oeko!CQ375,Oeko!FD375)</f>
        <v>1</v>
      </c>
      <c r="AE375" s="1998">
        <f>IF(Construction!$F$31=Construction!$R$22,Oeko!CR375,Oeko!FE375)</f>
        <v>1</v>
      </c>
      <c r="AF375" s="1998">
        <f>IF(Construction!$F$31=Construction!$R$22,Oeko!CS375,Oeko!FF375)</f>
        <v>1</v>
      </c>
      <c r="AG375" s="1998">
        <f>IF(Construction!$F$31=Construction!$R$22,Oeko!CT375,Oeko!FG375)</f>
        <v>1</v>
      </c>
      <c r="AH375" s="1979">
        <f>IF(Construction!$F$31=Construction!$R$22,Oeko!CU375,Oeko!FH375)</f>
        <v>1</v>
      </c>
      <c r="AI375" s="1979">
        <f>IF(Construction!$F$31=Construction!$R$22,Oeko!CV375,Oeko!FI375)</f>
        <v>1</v>
      </c>
      <c r="AJ375" s="1979">
        <f>IF(Construction!$F$31=Construction!$R$22,Oeko!CW375,Oeko!FJ375)</f>
        <v>1</v>
      </c>
      <c r="AK375" s="1979">
        <f>IF(Construction!$F$31=Construction!$R$22,Oeko!CX375,Oeko!FK375)</f>
        <v>1</v>
      </c>
      <c r="AL375" s="1979">
        <f>IF(Construction!$F$31=Construction!$R$22,Oeko!CY375,Oeko!FL375)</f>
        <v>1</v>
      </c>
      <c r="AM375" s="1998">
        <f>IF(Construction!$F$31=Construction!$R$22,Oeko!CZ375,Oeko!FM375)</f>
        <v>1</v>
      </c>
      <c r="AN375" s="1998">
        <f>IF(Construction!$F$31=Construction!$R$22,Oeko!DA375,Oeko!FN375)</f>
        <v>1</v>
      </c>
      <c r="AO375" s="1998">
        <f>IF(Construction!$F$31=Construction!$R$22,Oeko!DB375,Oeko!FO375)</f>
        <v>1</v>
      </c>
      <c r="AP375" s="1998">
        <f>IF(Construction!$F$31=Construction!$R$22,Oeko!DC375,Oeko!FP375)</f>
        <v>1</v>
      </c>
      <c r="AQ375" s="1998">
        <f>IF(Construction!$F$31=Construction!$R$22,Oeko!DD375,Oeko!FQ375)</f>
        <v>1</v>
      </c>
      <c r="AR375" s="1979">
        <f>IF(Construction!$F$31=Construction!$R$22,Oeko!DE375,Oeko!FR375)</f>
        <v>1</v>
      </c>
      <c r="AS375" s="1979">
        <f>IF(Construction!$F$31=Construction!$R$22,Oeko!DF375,Oeko!FS375)</f>
        <v>1</v>
      </c>
      <c r="AT375" s="1979">
        <f>IF(Construction!$F$31=Construction!$R$22,Oeko!DG375,Oeko!FT375)</f>
        <v>1</v>
      </c>
      <c r="AU375" s="1979">
        <f>IF(Construction!$F$31=Construction!$R$22,Oeko!DH375,Oeko!FU375)</f>
        <v>1</v>
      </c>
      <c r="AV375" s="1979">
        <f>IF(Construction!$F$31=Construction!$R$22,Oeko!DI375,Oeko!FV375)</f>
        <v>1</v>
      </c>
      <c r="AW375" s="1998">
        <f>IF(Construction!$F$31=Construction!$R$22,Oeko!DJ375,Oeko!FW375)</f>
        <v>1</v>
      </c>
      <c r="AX375" s="1998">
        <f>IF(Construction!$F$31=Construction!$R$22,Oeko!DK375,Oeko!FX375)</f>
        <v>1</v>
      </c>
      <c r="AY375" s="1998">
        <f>IF(Construction!$F$31=Construction!$R$22,Oeko!DL375,Oeko!FY375)</f>
        <v>1</v>
      </c>
      <c r="AZ375" s="1998">
        <f>IF(Construction!$F$31=Construction!$R$22,Oeko!DM375,Oeko!FZ375)</f>
        <v>1</v>
      </c>
      <c r="BA375" s="1998">
        <f>IF(Construction!$F$31=Construction!$R$22,Oeko!DN375,Oeko!GA375)</f>
        <v>1</v>
      </c>
      <c r="BB375" s="1979">
        <f>IF(Construction!$F$31=Construction!$R$22,Oeko!DO375,Oeko!GB375)</f>
        <v>1</v>
      </c>
      <c r="BC375" s="1979">
        <f>IF(Construction!$F$31=Construction!$R$22,Oeko!DP375,Oeko!GC375)</f>
        <v>1</v>
      </c>
      <c r="BD375" s="1979">
        <f>IF(Construction!$F$31=Construction!$R$22,Oeko!DQ375,Oeko!GD375)</f>
        <v>1</v>
      </c>
      <c r="BE375" s="1979">
        <f>IF(Construction!$F$31=Construction!$R$22,Oeko!DR375,Oeko!GE375)</f>
        <v>1</v>
      </c>
      <c r="BF375" s="1979">
        <f>IF(Construction!$F$31=Construction!$R$22,Oeko!DS375,Oeko!GF375)</f>
        <v>1</v>
      </c>
      <c r="BG375" s="1998">
        <f>IF(Construction!$F$31=Construction!$R$22,Oeko!DT375,Oeko!GG375)</f>
        <v>1</v>
      </c>
      <c r="BH375" s="1998">
        <f>IF(Construction!$F$31=Construction!$R$22,Oeko!DU375,Oeko!GH375)</f>
        <v>1</v>
      </c>
      <c r="BI375" s="1998">
        <f>IF(Construction!$F$31=Construction!$R$22,Oeko!DV375,Oeko!GI375)</f>
        <v>1</v>
      </c>
      <c r="BJ375" s="1998">
        <f>IF(Construction!$F$31=Construction!$R$22,Oeko!DW375,Oeko!GJ375)</f>
        <v>1</v>
      </c>
      <c r="BK375" s="2026">
        <f>IF(Construction!$F$31=Construction!$R$22,Oeko!DX375,Oeko!GK375)</f>
        <v>1</v>
      </c>
      <c r="BN375" s="2022"/>
      <c r="BO375" s="2">
        <v>30</v>
      </c>
      <c r="BP375" s="2" t="str">
        <f>$AD$14</f>
        <v>Micro-pieux</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Micro-pieux</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Pieux en béton coulé sur place</v>
      </c>
      <c r="D376" s="1979">
        <f>IF(Construction!$F$31=Construction!$R$22,Oeko!BQ376,Oeko!ED376)</f>
        <v>1</v>
      </c>
      <c r="E376" s="1979">
        <f>IF(Construction!$F$31=Construction!$R$22,Oeko!BR376,Oeko!EE376)</f>
        <v>1</v>
      </c>
      <c r="F376" s="1979">
        <f>IF(Construction!$F$31=Construction!$R$22,Oeko!BS376,Oeko!EF376)</f>
        <v>1</v>
      </c>
      <c r="G376" s="1979">
        <f>IF(Construction!$F$31=Construction!$R$22,Oeko!BT376,Oeko!EG376)</f>
        <v>1</v>
      </c>
      <c r="H376" s="1979">
        <f>IF(Construction!$F$31=Construction!$R$22,Oeko!BU376,Oeko!EH376)</f>
        <v>1</v>
      </c>
      <c r="I376" s="1998">
        <f>IF(Construction!$F$31=Construction!$R$22,Oeko!BV376,Oeko!EI376)</f>
        <v>1</v>
      </c>
      <c r="J376" s="1998">
        <f>IF(Construction!$F$31=Construction!$R$22,Oeko!BW376,Oeko!EJ376)</f>
        <v>1</v>
      </c>
      <c r="K376" s="1998">
        <f>IF(Construction!$F$31=Construction!$R$22,Oeko!BX376,Oeko!EK376)</f>
        <v>1</v>
      </c>
      <c r="L376" s="1998">
        <f>IF(Construction!$F$31=Construction!$R$22,Oeko!BY376,Oeko!EL376)</f>
        <v>1</v>
      </c>
      <c r="M376" s="1998">
        <f>IF(Construction!$F$31=Construction!$R$22,Oeko!BZ376,Oeko!EM376)</f>
        <v>1</v>
      </c>
      <c r="N376" s="1979">
        <f>IF(Construction!$F$31=Construction!$R$22,Oeko!CA376,Oeko!EN376)</f>
        <v>1</v>
      </c>
      <c r="O376" s="1979">
        <f>IF(Construction!$F$31=Construction!$R$22,Oeko!CB376,Oeko!EO376)</f>
        <v>1</v>
      </c>
      <c r="P376" s="1979">
        <f>IF(Construction!$F$31=Construction!$R$22,Oeko!CC376,Oeko!EP376)</f>
        <v>1</v>
      </c>
      <c r="Q376" s="1979">
        <f>IF(Construction!$F$31=Construction!$R$22,Oeko!CD376,Oeko!EQ376)</f>
        <v>1</v>
      </c>
      <c r="R376" s="1979">
        <f>IF(Construction!$F$31=Construction!$R$22,Oeko!CE376,Oeko!ER376)</f>
        <v>1</v>
      </c>
      <c r="S376" s="1998">
        <f>IF(Construction!$F$31=Construction!$R$22,Oeko!CF376,Oeko!ES376)</f>
        <v>1</v>
      </c>
      <c r="T376" s="1998">
        <f>IF(Construction!$F$31=Construction!$R$22,Oeko!CG376,Oeko!ET376)</f>
        <v>1</v>
      </c>
      <c r="U376" s="1998">
        <f>IF(Construction!$F$31=Construction!$R$22,Oeko!CH376,Oeko!EU376)</f>
        <v>1</v>
      </c>
      <c r="V376" s="1998">
        <f>IF(Construction!$F$31=Construction!$R$22,Oeko!CI376,Oeko!EV376)</f>
        <v>1</v>
      </c>
      <c r="W376" s="1998">
        <f>IF(Construction!$F$31=Construction!$R$22,Oeko!CJ376,Oeko!EW376)</f>
        <v>1</v>
      </c>
      <c r="X376" s="1979">
        <f>IF(Construction!$F$31=Construction!$R$22,Oeko!CK376,Oeko!EX376)</f>
        <v>1</v>
      </c>
      <c r="Y376" s="1979">
        <f>IF(Construction!$F$31=Construction!$R$22,Oeko!CL376,Oeko!EY376)</f>
        <v>1</v>
      </c>
      <c r="Z376" s="1979">
        <f>IF(Construction!$F$31=Construction!$R$22,Oeko!CM376,Oeko!EZ376)</f>
        <v>1</v>
      </c>
      <c r="AA376" s="1979">
        <f>IF(Construction!$F$31=Construction!$R$22,Oeko!CN376,Oeko!FA376)</f>
        <v>1</v>
      </c>
      <c r="AB376" s="1979">
        <f>IF(Construction!$F$31=Construction!$R$22,Oeko!CO376,Oeko!FB376)</f>
        <v>1</v>
      </c>
      <c r="AC376" s="1998">
        <f>IF(Construction!$F$31=Construction!$R$22,Oeko!CP376,Oeko!FC376)</f>
        <v>1</v>
      </c>
      <c r="AD376" s="1998">
        <f>IF(Construction!$F$31=Construction!$R$22,Oeko!CQ376,Oeko!FD376)</f>
        <v>1</v>
      </c>
      <c r="AE376" s="1998">
        <f>IF(Construction!$F$31=Construction!$R$22,Oeko!CR376,Oeko!FE376)</f>
        <v>1</v>
      </c>
      <c r="AF376" s="1998">
        <f>IF(Construction!$F$31=Construction!$R$22,Oeko!CS376,Oeko!FF376)</f>
        <v>1</v>
      </c>
      <c r="AG376" s="1998">
        <f>IF(Construction!$F$31=Construction!$R$22,Oeko!CT376,Oeko!FG376)</f>
        <v>1</v>
      </c>
      <c r="AH376" s="1979">
        <f>IF(Construction!$F$31=Construction!$R$22,Oeko!CU376,Oeko!FH376)</f>
        <v>1</v>
      </c>
      <c r="AI376" s="1979">
        <f>IF(Construction!$F$31=Construction!$R$22,Oeko!CV376,Oeko!FI376)</f>
        <v>1</v>
      </c>
      <c r="AJ376" s="1979">
        <f>IF(Construction!$F$31=Construction!$R$22,Oeko!CW376,Oeko!FJ376)</f>
        <v>1</v>
      </c>
      <c r="AK376" s="1979">
        <f>IF(Construction!$F$31=Construction!$R$22,Oeko!CX376,Oeko!FK376)</f>
        <v>1</v>
      </c>
      <c r="AL376" s="1979">
        <f>IF(Construction!$F$31=Construction!$R$22,Oeko!CY376,Oeko!FL376)</f>
        <v>1</v>
      </c>
      <c r="AM376" s="1998">
        <f>IF(Construction!$F$31=Construction!$R$22,Oeko!CZ376,Oeko!FM376)</f>
        <v>1</v>
      </c>
      <c r="AN376" s="1998">
        <f>IF(Construction!$F$31=Construction!$R$22,Oeko!DA376,Oeko!FN376)</f>
        <v>1</v>
      </c>
      <c r="AO376" s="1998">
        <f>IF(Construction!$F$31=Construction!$R$22,Oeko!DB376,Oeko!FO376)</f>
        <v>1</v>
      </c>
      <c r="AP376" s="1998">
        <f>IF(Construction!$F$31=Construction!$R$22,Oeko!DC376,Oeko!FP376)</f>
        <v>1</v>
      </c>
      <c r="AQ376" s="1998">
        <f>IF(Construction!$F$31=Construction!$R$22,Oeko!DD376,Oeko!FQ376)</f>
        <v>1</v>
      </c>
      <c r="AR376" s="1979">
        <f>IF(Construction!$F$31=Construction!$R$22,Oeko!DE376,Oeko!FR376)</f>
        <v>1</v>
      </c>
      <c r="AS376" s="1979">
        <f>IF(Construction!$F$31=Construction!$R$22,Oeko!DF376,Oeko!FS376)</f>
        <v>1</v>
      </c>
      <c r="AT376" s="1979">
        <f>IF(Construction!$F$31=Construction!$R$22,Oeko!DG376,Oeko!FT376)</f>
        <v>1</v>
      </c>
      <c r="AU376" s="1979">
        <f>IF(Construction!$F$31=Construction!$R$22,Oeko!DH376,Oeko!FU376)</f>
        <v>1</v>
      </c>
      <c r="AV376" s="1979">
        <f>IF(Construction!$F$31=Construction!$R$22,Oeko!DI376,Oeko!FV376)</f>
        <v>1</v>
      </c>
      <c r="AW376" s="1998">
        <f>IF(Construction!$F$31=Construction!$R$22,Oeko!DJ376,Oeko!FW376)</f>
        <v>1</v>
      </c>
      <c r="AX376" s="1998">
        <f>IF(Construction!$F$31=Construction!$R$22,Oeko!DK376,Oeko!FX376)</f>
        <v>1</v>
      </c>
      <c r="AY376" s="1998">
        <f>IF(Construction!$F$31=Construction!$R$22,Oeko!DL376,Oeko!FY376)</f>
        <v>1</v>
      </c>
      <c r="AZ376" s="1998">
        <f>IF(Construction!$F$31=Construction!$R$22,Oeko!DM376,Oeko!FZ376)</f>
        <v>1</v>
      </c>
      <c r="BA376" s="1998">
        <f>IF(Construction!$F$31=Construction!$R$22,Oeko!DN376,Oeko!GA376)</f>
        <v>1</v>
      </c>
      <c r="BB376" s="1979">
        <f>IF(Construction!$F$31=Construction!$R$22,Oeko!DO376,Oeko!GB376)</f>
        <v>1</v>
      </c>
      <c r="BC376" s="1979">
        <f>IF(Construction!$F$31=Construction!$R$22,Oeko!DP376,Oeko!GC376)</f>
        <v>1</v>
      </c>
      <c r="BD376" s="1979">
        <f>IF(Construction!$F$31=Construction!$R$22,Oeko!DQ376,Oeko!GD376)</f>
        <v>1</v>
      </c>
      <c r="BE376" s="1979">
        <f>IF(Construction!$F$31=Construction!$R$22,Oeko!DR376,Oeko!GE376)</f>
        <v>1</v>
      </c>
      <c r="BF376" s="1979">
        <f>IF(Construction!$F$31=Construction!$R$22,Oeko!DS376,Oeko!GF376)</f>
        <v>1</v>
      </c>
      <c r="BG376" s="1998">
        <f>IF(Construction!$F$31=Construction!$R$22,Oeko!DT376,Oeko!GG376)</f>
        <v>1</v>
      </c>
      <c r="BH376" s="1998">
        <f>IF(Construction!$F$31=Construction!$R$22,Oeko!DU376,Oeko!GH376)</f>
        <v>1</v>
      </c>
      <c r="BI376" s="1998">
        <f>IF(Construction!$F$31=Construction!$R$22,Oeko!DV376,Oeko!GI376)</f>
        <v>1</v>
      </c>
      <c r="BJ376" s="1998">
        <f>IF(Construction!$F$31=Construction!$R$22,Oeko!DW376,Oeko!GJ376)</f>
        <v>1</v>
      </c>
      <c r="BK376" s="2026">
        <f>IF(Construction!$F$31=Construction!$R$22,Oeko!DX376,Oeko!GK376)</f>
        <v>1</v>
      </c>
      <c r="BN376" s="2022"/>
      <c r="BO376" s="2">
        <v>31</v>
      </c>
      <c r="BP376" s="2" t="str">
        <f>$AD$15</f>
        <v>Pieux en béton coulé sur place</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Pieux en béton coulé sur place</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Colonnes ballastées</v>
      </c>
      <c r="D377" s="1979">
        <f>IF(Construction!$F$31=Construction!$R$22,Oeko!BQ377,Oeko!ED377)</f>
        <v>1</v>
      </c>
      <c r="E377" s="1979">
        <f>IF(Construction!$F$31=Construction!$R$22,Oeko!BR377,Oeko!EE377)</f>
        <v>1</v>
      </c>
      <c r="F377" s="1979">
        <f>IF(Construction!$F$31=Construction!$R$22,Oeko!BS377,Oeko!EF377)</f>
        <v>1</v>
      </c>
      <c r="G377" s="1979">
        <f>IF(Construction!$F$31=Construction!$R$22,Oeko!BT377,Oeko!EG377)</f>
        <v>1</v>
      </c>
      <c r="H377" s="1979">
        <f>IF(Construction!$F$31=Construction!$R$22,Oeko!BU377,Oeko!EH377)</f>
        <v>1</v>
      </c>
      <c r="I377" s="1998">
        <f>IF(Construction!$F$31=Construction!$R$22,Oeko!BV377,Oeko!EI377)</f>
        <v>1</v>
      </c>
      <c r="J377" s="1998">
        <f>IF(Construction!$F$31=Construction!$R$22,Oeko!BW377,Oeko!EJ377)</f>
        <v>1</v>
      </c>
      <c r="K377" s="1998">
        <f>IF(Construction!$F$31=Construction!$R$22,Oeko!BX377,Oeko!EK377)</f>
        <v>1</v>
      </c>
      <c r="L377" s="1998">
        <f>IF(Construction!$F$31=Construction!$R$22,Oeko!BY377,Oeko!EL377)</f>
        <v>1</v>
      </c>
      <c r="M377" s="1998">
        <f>IF(Construction!$F$31=Construction!$R$22,Oeko!BZ377,Oeko!EM377)</f>
        <v>1</v>
      </c>
      <c r="N377" s="1979">
        <f>IF(Construction!$F$31=Construction!$R$22,Oeko!CA377,Oeko!EN377)</f>
        <v>1</v>
      </c>
      <c r="O377" s="1979">
        <f>IF(Construction!$F$31=Construction!$R$22,Oeko!CB377,Oeko!EO377)</f>
        <v>1</v>
      </c>
      <c r="P377" s="1979">
        <f>IF(Construction!$F$31=Construction!$R$22,Oeko!CC377,Oeko!EP377)</f>
        <v>1</v>
      </c>
      <c r="Q377" s="1979">
        <f>IF(Construction!$F$31=Construction!$R$22,Oeko!CD377,Oeko!EQ377)</f>
        <v>1</v>
      </c>
      <c r="R377" s="1979">
        <f>IF(Construction!$F$31=Construction!$R$22,Oeko!CE377,Oeko!ER377)</f>
        <v>1</v>
      </c>
      <c r="S377" s="1998">
        <f>IF(Construction!$F$31=Construction!$R$22,Oeko!CF377,Oeko!ES377)</f>
        <v>1</v>
      </c>
      <c r="T377" s="1998">
        <f>IF(Construction!$F$31=Construction!$R$22,Oeko!CG377,Oeko!ET377)</f>
        <v>1</v>
      </c>
      <c r="U377" s="1998">
        <f>IF(Construction!$F$31=Construction!$R$22,Oeko!CH377,Oeko!EU377)</f>
        <v>1</v>
      </c>
      <c r="V377" s="1998">
        <f>IF(Construction!$F$31=Construction!$R$22,Oeko!CI377,Oeko!EV377)</f>
        <v>1</v>
      </c>
      <c r="W377" s="1998">
        <f>IF(Construction!$F$31=Construction!$R$22,Oeko!CJ377,Oeko!EW377)</f>
        <v>1</v>
      </c>
      <c r="X377" s="1979">
        <f>IF(Construction!$F$31=Construction!$R$22,Oeko!CK377,Oeko!EX377)</f>
        <v>1</v>
      </c>
      <c r="Y377" s="1979">
        <f>IF(Construction!$F$31=Construction!$R$22,Oeko!CL377,Oeko!EY377)</f>
        <v>1</v>
      </c>
      <c r="Z377" s="1979">
        <f>IF(Construction!$F$31=Construction!$R$22,Oeko!CM377,Oeko!EZ377)</f>
        <v>1</v>
      </c>
      <c r="AA377" s="1979">
        <f>IF(Construction!$F$31=Construction!$R$22,Oeko!CN377,Oeko!FA377)</f>
        <v>1</v>
      </c>
      <c r="AB377" s="1979">
        <f>IF(Construction!$F$31=Construction!$R$22,Oeko!CO377,Oeko!FB377)</f>
        <v>1</v>
      </c>
      <c r="AC377" s="1998">
        <f>IF(Construction!$F$31=Construction!$R$22,Oeko!CP377,Oeko!FC377)</f>
        <v>1</v>
      </c>
      <c r="AD377" s="1998">
        <f>IF(Construction!$F$31=Construction!$R$22,Oeko!CQ377,Oeko!FD377)</f>
        <v>1</v>
      </c>
      <c r="AE377" s="1998">
        <f>IF(Construction!$F$31=Construction!$R$22,Oeko!CR377,Oeko!FE377)</f>
        <v>1</v>
      </c>
      <c r="AF377" s="1998">
        <f>IF(Construction!$F$31=Construction!$R$22,Oeko!CS377,Oeko!FF377)</f>
        <v>1</v>
      </c>
      <c r="AG377" s="1998">
        <f>IF(Construction!$F$31=Construction!$R$22,Oeko!CT377,Oeko!FG377)</f>
        <v>1</v>
      </c>
      <c r="AH377" s="1979">
        <f>IF(Construction!$F$31=Construction!$R$22,Oeko!CU377,Oeko!FH377)</f>
        <v>1</v>
      </c>
      <c r="AI377" s="1979">
        <f>IF(Construction!$F$31=Construction!$R$22,Oeko!CV377,Oeko!FI377)</f>
        <v>1</v>
      </c>
      <c r="AJ377" s="1979">
        <f>IF(Construction!$F$31=Construction!$R$22,Oeko!CW377,Oeko!FJ377)</f>
        <v>1</v>
      </c>
      <c r="AK377" s="1979">
        <f>IF(Construction!$F$31=Construction!$R$22,Oeko!CX377,Oeko!FK377)</f>
        <v>1</v>
      </c>
      <c r="AL377" s="1979">
        <f>IF(Construction!$F$31=Construction!$R$22,Oeko!CY377,Oeko!FL377)</f>
        <v>1</v>
      </c>
      <c r="AM377" s="1998">
        <f>IF(Construction!$F$31=Construction!$R$22,Oeko!CZ377,Oeko!FM377)</f>
        <v>1</v>
      </c>
      <c r="AN377" s="1998">
        <f>IF(Construction!$F$31=Construction!$R$22,Oeko!DA377,Oeko!FN377)</f>
        <v>1</v>
      </c>
      <c r="AO377" s="1998">
        <f>IF(Construction!$F$31=Construction!$R$22,Oeko!DB377,Oeko!FO377)</f>
        <v>1</v>
      </c>
      <c r="AP377" s="1998">
        <f>IF(Construction!$F$31=Construction!$R$22,Oeko!DC377,Oeko!FP377)</f>
        <v>1</v>
      </c>
      <c r="AQ377" s="1998">
        <f>IF(Construction!$F$31=Construction!$R$22,Oeko!DD377,Oeko!FQ377)</f>
        <v>1</v>
      </c>
      <c r="AR377" s="1979">
        <f>IF(Construction!$F$31=Construction!$R$22,Oeko!DE377,Oeko!FR377)</f>
        <v>1</v>
      </c>
      <c r="AS377" s="1979">
        <f>IF(Construction!$F$31=Construction!$R$22,Oeko!DF377,Oeko!FS377)</f>
        <v>1</v>
      </c>
      <c r="AT377" s="1979">
        <f>IF(Construction!$F$31=Construction!$R$22,Oeko!DG377,Oeko!FT377)</f>
        <v>1</v>
      </c>
      <c r="AU377" s="1979">
        <f>IF(Construction!$F$31=Construction!$R$22,Oeko!DH377,Oeko!FU377)</f>
        <v>1</v>
      </c>
      <c r="AV377" s="1979">
        <f>IF(Construction!$F$31=Construction!$R$22,Oeko!DI377,Oeko!FV377)</f>
        <v>1</v>
      </c>
      <c r="AW377" s="1998">
        <f>IF(Construction!$F$31=Construction!$R$22,Oeko!DJ377,Oeko!FW377)</f>
        <v>1</v>
      </c>
      <c r="AX377" s="1998">
        <f>IF(Construction!$F$31=Construction!$R$22,Oeko!DK377,Oeko!FX377)</f>
        <v>1</v>
      </c>
      <c r="AY377" s="1998">
        <f>IF(Construction!$F$31=Construction!$R$22,Oeko!DL377,Oeko!FY377)</f>
        <v>1</v>
      </c>
      <c r="AZ377" s="1998">
        <f>IF(Construction!$F$31=Construction!$R$22,Oeko!DM377,Oeko!FZ377)</f>
        <v>1</v>
      </c>
      <c r="BA377" s="1998">
        <f>IF(Construction!$F$31=Construction!$R$22,Oeko!DN377,Oeko!GA377)</f>
        <v>1</v>
      </c>
      <c r="BB377" s="1979">
        <f>IF(Construction!$F$31=Construction!$R$22,Oeko!DO377,Oeko!GB377)</f>
        <v>1</v>
      </c>
      <c r="BC377" s="1979">
        <f>IF(Construction!$F$31=Construction!$R$22,Oeko!DP377,Oeko!GC377)</f>
        <v>1</v>
      </c>
      <c r="BD377" s="1979">
        <f>IF(Construction!$F$31=Construction!$R$22,Oeko!DQ377,Oeko!GD377)</f>
        <v>1</v>
      </c>
      <c r="BE377" s="1979">
        <f>IF(Construction!$F$31=Construction!$R$22,Oeko!DR377,Oeko!GE377)</f>
        <v>1</v>
      </c>
      <c r="BF377" s="1979">
        <f>IF(Construction!$F$31=Construction!$R$22,Oeko!DS377,Oeko!GF377)</f>
        <v>1</v>
      </c>
      <c r="BG377" s="1998">
        <f>IF(Construction!$F$31=Construction!$R$22,Oeko!DT377,Oeko!GG377)</f>
        <v>1</v>
      </c>
      <c r="BH377" s="1998">
        <f>IF(Construction!$F$31=Construction!$R$22,Oeko!DU377,Oeko!GH377)</f>
        <v>1</v>
      </c>
      <c r="BI377" s="1998">
        <f>IF(Construction!$F$31=Construction!$R$22,Oeko!DV377,Oeko!GI377)</f>
        <v>1</v>
      </c>
      <c r="BJ377" s="1998">
        <f>IF(Construction!$F$31=Construction!$R$22,Oeko!DW377,Oeko!GJ377)</f>
        <v>1</v>
      </c>
      <c r="BK377" s="2026">
        <f>IF(Construction!$F$31=Construction!$R$22,Oeko!DX377,Oeko!GK377)</f>
        <v>1</v>
      </c>
      <c r="BN377" s="2022"/>
      <c r="BO377" s="2">
        <v>32</v>
      </c>
      <c r="BP377" s="2" t="str">
        <f>$AD$16</f>
        <v>Colonnes ballastées</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Colonnes ballastées</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Pieu en béton préfabriqué (battus)</v>
      </c>
      <c r="D378" s="1979">
        <f>IF(Construction!$F$31=Construction!$R$22,Oeko!BQ378,Oeko!ED378)</f>
        <v>1</v>
      </c>
      <c r="E378" s="1979">
        <f>IF(Construction!$F$31=Construction!$R$22,Oeko!BR378,Oeko!EE378)</f>
        <v>1</v>
      </c>
      <c r="F378" s="1979">
        <f>IF(Construction!$F$31=Construction!$R$22,Oeko!BS378,Oeko!EF378)</f>
        <v>1</v>
      </c>
      <c r="G378" s="1979">
        <f>IF(Construction!$F$31=Construction!$R$22,Oeko!BT378,Oeko!EG378)</f>
        <v>1</v>
      </c>
      <c r="H378" s="1979">
        <f>IF(Construction!$F$31=Construction!$R$22,Oeko!BU378,Oeko!EH378)</f>
        <v>1</v>
      </c>
      <c r="I378" s="1998">
        <f>IF(Construction!$F$31=Construction!$R$22,Oeko!BV378,Oeko!EI378)</f>
        <v>1</v>
      </c>
      <c r="J378" s="1998">
        <f>IF(Construction!$F$31=Construction!$R$22,Oeko!BW378,Oeko!EJ378)</f>
        <v>1</v>
      </c>
      <c r="K378" s="1998">
        <f>IF(Construction!$F$31=Construction!$R$22,Oeko!BX378,Oeko!EK378)</f>
        <v>1</v>
      </c>
      <c r="L378" s="1998">
        <f>IF(Construction!$F$31=Construction!$R$22,Oeko!BY378,Oeko!EL378)</f>
        <v>1</v>
      </c>
      <c r="M378" s="1998">
        <f>IF(Construction!$F$31=Construction!$R$22,Oeko!BZ378,Oeko!EM378)</f>
        <v>1</v>
      </c>
      <c r="N378" s="1979">
        <f>IF(Construction!$F$31=Construction!$R$22,Oeko!CA378,Oeko!EN378)</f>
        <v>1</v>
      </c>
      <c r="O378" s="1979">
        <f>IF(Construction!$F$31=Construction!$R$22,Oeko!CB378,Oeko!EO378)</f>
        <v>1</v>
      </c>
      <c r="P378" s="1979">
        <f>IF(Construction!$F$31=Construction!$R$22,Oeko!CC378,Oeko!EP378)</f>
        <v>1</v>
      </c>
      <c r="Q378" s="1979">
        <f>IF(Construction!$F$31=Construction!$R$22,Oeko!CD378,Oeko!EQ378)</f>
        <v>1</v>
      </c>
      <c r="R378" s="1979">
        <f>IF(Construction!$F$31=Construction!$R$22,Oeko!CE378,Oeko!ER378)</f>
        <v>1</v>
      </c>
      <c r="S378" s="1998">
        <f>IF(Construction!$F$31=Construction!$R$22,Oeko!CF378,Oeko!ES378)</f>
        <v>1</v>
      </c>
      <c r="T378" s="1998">
        <f>IF(Construction!$F$31=Construction!$R$22,Oeko!CG378,Oeko!ET378)</f>
        <v>1</v>
      </c>
      <c r="U378" s="1998">
        <f>IF(Construction!$F$31=Construction!$R$22,Oeko!CH378,Oeko!EU378)</f>
        <v>1</v>
      </c>
      <c r="V378" s="1998">
        <f>IF(Construction!$F$31=Construction!$R$22,Oeko!CI378,Oeko!EV378)</f>
        <v>1</v>
      </c>
      <c r="W378" s="1998">
        <f>IF(Construction!$F$31=Construction!$R$22,Oeko!CJ378,Oeko!EW378)</f>
        <v>1</v>
      </c>
      <c r="X378" s="1979">
        <f>IF(Construction!$F$31=Construction!$R$22,Oeko!CK378,Oeko!EX378)</f>
        <v>1</v>
      </c>
      <c r="Y378" s="1979">
        <f>IF(Construction!$F$31=Construction!$R$22,Oeko!CL378,Oeko!EY378)</f>
        <v>1</v>
      </c>
      <c r="Z378" s="1979">
        <f>IF(Construction!$F$31=Construction!$R$22,Oeko!CM378,Oeko!EZ378)</f>
        <v>1</v>
      </c>
      <c r="AA378" s="1979">
        <f>IF(Construction!$F$31=Construction!$R$22,Oeko!CN378,Oeko!FA378)</f>
        <v>1</v>
      </c>
      <c r="AB378" s="1979">
        <f>IF(Construction!$F$31=Construction!$R$22,Oeko!CO378,Oeko!FB378)</f>
        <v>1</v>
      </c>
      <c r="AC378" s="1998">
        <f>IF(Construction!$F$31=Construction!$R$22,Oeko!CP378,Oeko!FC378)</f>
        <v>1</v>
      </c>
      <c r="AD378" s="1998">
        <f>IF(Construction!$F$31=Construction!$R$22,Oeko!CQ378,Oeko!FD378)</f>
        <v>1</v>
      </c>
      <c r="AE378" s="1998">
        <f>IF(Construction!$F$31=Construction!$R$22,Oeko!CR378,Oeko!FE378)</f>
        <v>1</v>
      </c>
      <c r="AF378" s="1998">
        <f>IF(Construction!$F$31=Construction!$R$22,Oeko!CS378,Oeko!FF378)</f>
        <v>1</v>
      </c>
      <c r="AG378" s="1998">
        <f>IF(Construction!$F$31=Construction!$R$22,Oeko!CT378,Oeko!FG378)</f>
        <v>1</v>
      </c>
      <c r="AH378" s="1979">
        <f>IF(Construction!$F$31=Construction!$R$22,Oeko!CU378,Oeko!FH378)</f>
        <v>1</v>
      </c>
      <c r="AI378" s="1979">
        <f>IF(Construction!$F$31=Construction!$R$22,Oeko!CV378,Oeko!FI378)</f>
        <v>1</v>
      </c>
      <c r="AJ378" s="1979">
        <f>IF(Construction!$F$31=Construction!$R$22,Oeko!CW378,Oeko!FJ378)</f>
        <v>1</v>
      </c>
      <c r="AK378" s="1979">
        <f>IF(Construction!$F$31=Construction!$R$22,Oeko!CX378,Oeko!FK378)</f>
        <v>1</v>
      </c>
      <c r="AL378" s="1979">
        <f>IF(Construction!$F$31=Construction!$R$22,Oeko!CY378,Oeko!FL378)</f>
        <v>1</v>
      </c>
      <c r="AM378" s="1998">
        <f>IF(Construction!$F$31=Construction!$R$22,Oeko!CZ378,Oeko!FM378)</f>
        <v>1</v>
      </c>
      <c r="AN378" s="1998">
        <f>IF(Construction!$F$31=Construction!$R$22,Oeko!DA378,Oeko!FN378)</f>
        <v>1</v>
      </c>
      <c r="AO378" s="1998">
        <f>IF(Construction!$F$31=Construction!$R$22,Oeko!DB378,Oeko!FO378)</f>
        <v>1</v>
      </c>
      <c r="AP378" s="1998">
        <f>IF(Construction!$F$31=Construction!$R$22,Oeko!DC378,Oeko!FP378)</f>
        <v>1</v>
      </c>
      <c r="AQ378" s="1998">
        <f>IF(Construction!$F$31=Construction!$R$22,Oeko!DD378,Oeko!FQ378)</f>
        <v>1</v>
      </c>
      <c r="AR378" s="1979">
        <f>IF(Construction!$F$31=Construction!$R$22,Oeko!DE378,Oeko!FR378)</f>
        <v>1</v>
      </c>
      <c r="AS378" s="1979">
        <f>IF(Construction!$F$31=Construction!$R$22,Oeko!DF378,Oeko!FS378)</f>
        <v>1</v>
      </c>
      <c r="AT378" s="1979">
        <f>IF(Construction!$F$31=Construction!$R$22,Oeko!DG378,Oeko!FT378)</f>
        <v>1</v>
      </c>
      <c r="AU378" s="1979">
        <f>IF(Construction!$F$31=Construction!$R$22,Oeko!DH378,Oeko!FU378)</f>
        <v>1</v>
      </c>
      <c r="AV378" s="1979">
        <f>IF(Construction!$F$31=Construction!$R$22,Oeko!DI378,Oeko!FV378)</f>
        <v>1</v>
      </c>
      <c r="AW378" s="1998">
        <f>IF(Construction!$F$31=Construction!$R$22,Oeko!DJ378,Oeko!FW378)</f>
        <v>1</v>
      </c>
      <c r="AX378" s="1998">
        <f>IF(Construction!$F$31=Construction!$R$22,Oeko!DK378,Oeko!FX378)</f>
        <v>1</v>
      </c>
      <c r="AY378" s="1998">
        <f>IF(Construction!$F$31=Construction!$R$22,Oeko!DL378,Oeko!FY378)</f>
        <v>1</v>
      </c>
      <c r="AZ378" s="1998">
        <f>IF(Construction!$F$31=Construction!$R$22,Oeko!DM378,Oeko!FZ378)</f>
        <v>1</v>
      </c>
      <c r="BA378" s="1998">
        <f>IF(Construction!$F$31=Construction!$R$22,Oeko!DN378,Oeko!GA378)</f>
        <v>1</v>
      </c>
      <c r="BB378" s="1979">
        <f>IF(Construction!$F$31=Construction!$R$22,Oeko!DO378,Oeko!GB378)</f>
        <v>1</v>
      </c>
      <c r="BC378" s="1979">
        <f>IF(Construction!$F$31=Construction!$R$22,Oeko!DP378,Oeko!GC378)</f>
        <v>1</v>
      </c>
      <c r="BD378" s="1979">
        <f>IF(Construction!$F$31=Construction!$R$22,Oeko!DQ378,Oeko!GD378)</f>
        <v>1</v>
      </c>
      <c r="BE378" s="1979">
        <f>IF(Construction!$F$31=Construction!$R$22,Oeko!DR378,Oeko!GE378)</f>
        <v>1</v>
      </c>
      <c r="BF378" s="1979">
        <f>IF(Construction!$F$31=Construction!$R$22,Oeko!DS378,Oeko!GF378)</f>
        <v>1</v>
      </c>
      <c r="BG378" s="1998">
        <f>IF(Construction!$F$31=Construction!$R$22,Oeko!DT378,Oeko!GG378)</f>
        <v>1</v>
      </c>
      <c r="BH378" s="1998">
        <f>IF(Construction!$F$31=Construction!$R$22,Oeko!DU378,Oeko!GH378)</f>
        <v>1</v>
      </c>
      <c r="BI378" s="1998">
        <f>IF(Construction!$F$31=Construction!$R$22,Oeko!DV378,Oeko!GI378)</f>
        <v>1</v>
      </c>
      <c r="BJ378" s="1998">
        <f>IF(Construction!$F$31=Construction!$R$22,Oeko!DW378,Oeko!GJ378)</f>
        <v>1</v>
      </c>
      <c r="BK378" s="2026">
        <f>IF(Construction!$F$31=Construction!$R$22,Oeko!DX378,Oeko!GK378)</f>
        <v>1</v>
      </c>
      <c r="BN378" s="2022"/>
      <c r="BO378" s="2">
        <v>33</v>
      </c>
      <c r="BP378" s="2" t="str">
        <f>$AD$17</f>
        <v>Pieu en béton préfabriqué (battus)</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Pieu en béton préfabriqué (battus)</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IF(Construction!$F$31=Construction!$R$22,Oeko!BQ379,Oeko!ED379)</f>
        <v>1</v>
      </c>
      <c r="E379" s="1979">
        <f>IF(Construction!$F$31=Construction!$R$22,Oeko!BR379,Oeko!EE379)</f>
        <v>1</v>
      </c>
      <c r="F379" s="1979">
        <f>IF(Construction!$F$31=Construction!$R$22,Oeko!BS379,Oeko!EF379)</f>
        <v>1</v>
      </c>
      <c r="G379" s="1979">
        <f>IF(Construction!$F$31=Construction!$R$22,Oeko!BT379,Oeko!EG379)</f>
        <v>1</v>
      </c>
      <c r="H379" s="1979">
        <f>IF(Construction!$F$31=Construction!$R$22,Oeko!BU379,Oeko!EH379)</f>
        <v>1</v>
      </c>
      <c r="I379" s="1998">
        <f>IF(Construction!$F$31=Construction!$R$22,Oeko!BV379,Oeko!EI379)</f>
        <v>1</v>
      </c>
      <c r="J379" s="1998">
        <f>IF(Construction!$F$31=Construction!$R$22,Oeko!BW379,Oeko!EJ379)</f>
        <v>1</v>
      </c>
      <c r="K379" s="1998">
        <f>IF(Construction!$F$31=Construction!$R$22,Oeko!BX379,Oeko!EK379)</f>
        <v>1</v>
      </c>
      <c r="L379" s="1998">
        <f>IF(Construction!$F$31=Construction!$R$22,Oeko!BY379,Oeko!EL379)</f>
        <v>1</v>
      </c>
      <c r="M379" s="1998">
        <f>IF(Construction!$F$31=Construction!$R$22,Oeko!BZ379,Oeko!EM379)</f>
        <v>1</v>
      </c>
      <c r="N379" s="1979">
        <f>IF(Construction!$F$31=Construction!$R$22,Oeko!CA379,Oeko!EN379)</f>
        <v>1</v>
      </c>
      <c r="O379" s="1979">
        <f>IF(Construction!$F$31=Construction!$R$22,Oeko!CB379,Oeko!EO379)</f>
        <v>1</v>
      </c>
      <c r="P379" s="1979">
        <f>IF(Construction!$F$31=Construction!$R$22,Oeko!CC379,Oeko!EP379)</f>
        <v>1</v>
      </c>
      <c r="Q379" s="1979">
        <f>IF(Construction!$F$31=Construction!$R$22,Oeko!CD379,Oeko!EQ379)</f>
        <v>1</v>
      </c>
      <c r="R379" s="1979">
        <f>IF(Construction!$F$31=Construction!$R$22,Oeko!CE379,Oeko!ER379)</f>
        <v>1</v>
      </c>
      <c r="S379" s="1998">
        <f>IF(Construction!$F$31=Construction!$R$22,Oeko!CF379,Oeko!ES379)</f>
        <v>1</v>
      </c>
      <c r="T379" s="1998">
        <f>IF(Construction!$F$31=Construction!$R$22,Oeko!CG379,Oeko!ET379)</f>
        <v>1</v>
      </c>
      <c r="U379" s="1998">
        <f>IF(Construction!$F$31=Construction!$R$22,Oeko!CH379,Oeko!EU379)</f>
        <v>1</v>
      </c>
      <c r="V379" s="1998">
        <f>IF(Construction!$F$31=Construction!$R$22,Oeko!CI379,Oeko!EV379)</f>
        <v>1</v>
      </c>
      <c r="W379" s="1998">
        <f>IF(Construction!$F$31=Construction!$R$22,Oeko!CJ379,Oeko!EW379)</f>
        <v>1</v>
      </c>
      <c r="X379" s="1979">
        <f>IF(Construction!$F$31=Construction!$R$22,Oeko!CK379,Oeko!EX379)</f>
        <v>1</v>
      </c>
      <c r="Y379" s="1979">
        <f>IF(Construction!$F$31=Construction!$R$22,Oeko!CL379,Oeko!EY379)</f>
        <v>1</v>
      </c>
      <c r="Z379" s="1979">
        <f>IF(Construction!$F$31=Construction!$R$22,Oeko!CM379,Oeko!EZ379)</f>
        <v>1</v>
      </c>
      <c r="AA379" s="1979">
        <f>IF(Construction!$F$31=Construction!$R$22,Oeko!CN379,Oeko!FA379)</f>
        <v>1</v>
      </c>
      <c r="AB379" s="1979">
        <f>IF(Construction!$F$31=Construction!$R$22,Oeko!CO379,Oeko!FB379)</f>
        <v>1</v>
      </c>
      <c r="AC379" s="1998">
        <f>IF(Construction!$F$31=Construction!$R$22,Oeko!CP379,Oeko!FC379)</f>
        <v>1</v>
      </c>
      <c r="AD379" s="1998">
        <f>IF(Construction!$F$31=Construction!$R$22,Oeko!CQ379,Oeko!FD379)</f>
        <v>1</v>
      </c>
      <c r="AE379" s="1998">
        <f>IF(Construction!$F$31=Construction!$R$22,Oeko!CR379,Oeko!FE379)</f>
        <v>1</v>
      </c>
      <c r="AF379" s="1998">
        <f>IF(Construction!$F$31=Construction!$R$22,Oeko!CS379,Oeko!FF379)</f>
        <v>1</v>
      </c>
      <c r="AG379" s="1998">
        <f>IF(Construction!$F$31=Construction!$R$22,Oeko!CT379,Oeko!FG379)</f>
        <v>1</v>
      </c>
      <c r="AH379" s="1979">
        <f>IF(Construction!$F$31=Construction!$R$22,Oeko!CU379,Oeko!FH379)</f>
        <v>1</v>
      </c>
      <c r="AI379" s="1979">
        <f>IF(Construction!$F$31=Construction!$R$22,Oeko!CV379,Oeko!FI379)</f>
        <v>1</v>
      </c>
      <c r="AJ379" s="1979">
        <f>IF(Construction!$F$31=Construction!$R$22,Oeko!CW379,Oeko!FJ379)</f>
        <v>1</v>
      </c>
      <c r="AK379" s="1979">
        <f>IF(Construction!$F$31=Construction!$R$22,Oeko!CX379,Oeko!FK379)</f>
        <v>1</v>
      </c>
      <c r="AL379" s="1979">
        <f>IF(Construction!$F$31=Construction!$R$22,Oeko!CY379,Oeko!FL379)</f>
        <v>1</v>
      </c>
      <c r="AM379" s="1998">
        <f>IF(Construction!$F$31=Construction!$R$22,Oeko!CZ379,Oeko!FM379)</f>
        <v>1</v>
      </c>
      <c r="AN379" s="1998">
        <f>IF(Construction!$F$31=Construction!$R$22,Oeko!DA379,Oeko!FN379)</f>
        <v>1</v>
      </c>
      <c r="AO379" s="1998">
        <f>IF(Construction!$F$31=Construction!$R$22,Oeko!DB379,Oeko!FO379)</f>
        <v>1</v>
      </c>
      <c r="AP379" s="1998">
        <f>IF(Construction!$F$31=Construction!$R$22,Oeko!DC379,Oeko!FP379)</f>
        <v>1</v>
      </c>
      <c r="AQ379" s="1998">
        <f>IF(Construction!$F$31=Construction!$R$22,Oeko!DD379,Oeko!FQ379)</f>
        <v>1</v>
      </c>
      <c r="AR379" s="1979">
        <f>IF(Construction!$F$31=Construction!$R$22,Oeko!DE379,Oeko!FR379)</f>
        <v>1</v>
      </c>
      <c r="AS379" s="1979">
        <f>IF(Construction!$F$31=Construction!$R$22,Oeko!DF379,Oeko!FS379)</f>
        <v>1</v>
      </c>
      <c r="AT379" s="1979">
        <f>IF(Construction!$F$31=Construction!$R$22,Oeko!DG379,Oeko!FT379)</f>
        <v>1</v>
      </c>
      <c r="AU379" s="1979">
        <f>IF(Construction!$F$31=Construction!$R$22,Oeko!DH379,Oeko!FU379)</f>
        <v>1</v>
      </c>
      <c r="AV379" s="1979">
        <f>IF(Construction!$F$31=Construction!$R$22,Oeko!DI379,Oeko!FV379)</f>
        <v>1</v>
      </c>
      <c r="AW379" s="1998">
        <f>IF(Construction!$F$31=Construction!$R$22,Oeko!DJ379,Oeko!FW379)</f>
        <v>1</v>
      </c>
      <c r="AX379" s="1998">
        <f>IF(Construction!$F$31=Construction!$R$22,Oeko!DK379,Oeko!FX379)</f>
        <v>1</v>
      </c>
      <c r="AY379" s="1998">
        <f>IF(Construction!$F$31=Construction!$R$22,Oeko!DL379,Oeko!FY379)</f>
        <v>1</v>
      </c>
      <c r="AZ379" s="1998">
        <f>IF(Construction!$F$31=Construction!$R$22,Oeko!DM379,Oeko!FZ379)</f>
        <v>1</v>
      </c>
      <c r="BA379" s="1998">
        <f>IF(Construction!$F$31=Construction!$R$22,Oeko!DN379,Oeko!GA379)</f>
        <v>1</v>
      </c>
      <c r="BB379" s="1979">
        <f>IF(Construction!$F$31=Construction!$R$22,Oeko!DO379,Oeko!GB379)</f>
        <v>1</v>
      </c>
      <c r="BC379" s="1979">
        <f>IF(Construction!$F$31=Construction!$R$22,Oeko!DP379,Oeko!GC379)</f>
        <v>1</v>
      </c>
      <c r="BD379" s="1979">
        <f>IF(Construction!$F$31=Construction!$R$22,Oeko!DQ379,Oeko!GD379)</f>
        <v>1</v>
      </c>
      <c r="BE379" s="1979">
        <f>IF(Construction!$F$31=Construction!$R$22,Oeko!DR379,Oeko!GE379)</f>
        <v>1</v>
      </c>
      <c r="BF379" s="1979">
        <f>IF(Construction!$F$31=Construction!$R$22,Oeko!DS379,Oeko!GF379)</f>
        <v>1</v>
      </c>
      <c r="BG379" s="1998">
        <f>IF(Construction!$F$31=Construction!$R$22,Oeko!DT379,Oeko!GG379)</f>
        <v>1</v>
      </c>
      <c r="BH379" s="1998">
        <f>IF(Construction!$F$31=Construction!$R$22,Oeko!DU379,Oeko!GH379)</f>
        <v>1</v>
      </c>
      <c r="BI379" s="1998">
        <f>IF(Construction!$F$31=Construction!$R$22,Oeko!DV379,Oeko!GI379)</f>
        <v>1</v>
      </c>
      <c r="BJ379" s="1998">
        <f>IF(Construction!$F$31=Construction!$R$22,Oeko!DW379,Oeko!GJ379)</f>
        <v>1</v>
      </c>
      <c r="BK379" s="2026">
        <f>IF(Construction!$F$31=Construction!$R$22,Oeko!DX379,Oeko!GK379)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IF(Construction!$F$31=Construction!$R$22,Oeko!BQ380,Oeko!ED380)</f>
        <v>1</v>
      </c>
      <c r="E380" s="1979">
        <f>IF(Construction!$F$31=Construction!$R$22,Oeko!BR380,Oeko!EE380)</f>
        <v>1</v>
      </c>
      <c r="F380" s="1979">
        <f>IF(Construction!$F$31=Construction!$R$22,Oeko!BS380,Oeko!EF380)</f>
        <v>1</v>
      </c>
      <c r="G380" s="1979">
        <f>IF(Construction!$F$31=Construction!$R$22,Oeko!BT380,Oeko!EG380)</f>
        <v>1</v>
      </c>
      <c r="H380" s="1979">
        <f>IF(Construction!$F$31=Construction!$R$22,Oeko!BU380,Oeko!EH380)</f>
        <v>1</v>
      </c>
      <c r="I380" s="1998">
        <f>IF(Construction!$F$31=Construction!$R$22,Oeko!BV380,Oeko!EI380)</f>
        <v>1</v>
      </c>
      <c r="J380" s="1998">
        <f>IF(Construction!$F$31=Construction!$R$22,Oeko!BW380,Oeko!EJ380)</f>
        <v>1</v>
      </c>
      <c r="K380" s="1998">
        <f>IF(Construction!$F$31=Construction!$R$22,Oeko!BX380,Oeko!EK380)</f>
        <v>1</v>
      </c>
      <c r="L380" s="1998">
        <f>IF(Construction!$F$31=Construction!$R$22,Oeko!BY380,Oeko!EL380)</f>
        <v>1</v>
      </c>
      <c r="M380" s="1998">
        <f>IF(Construction!$F$31=Construction!$R$22,Oeko!BZ380,Oeko!EM380)</f>
        <v>1</v>
      </c>
      <c r="N380" s="1979">
        <f>IF(Construction!$F$31=Construction!$R$22,Oeko!CA380,Oeko!EN380)</f>
        <v>1</v>
      </c>
      <c r="O380" s="1979">
        <f>IF(Construction!$F$31=Construction!$R$22,Oeko!CB380,Oeko!EO380)</f>
        <v>1</v>
      </c>
      <c r="P380" s="1979">
        <f>IF(Construction!$F$31=Construction!$R$22,Oeko!CC380,Oeko!EP380)</f>
        <v>1</v>
      </c>
      <c r="Q380" s="1979">
        <f>IF(Construction!$F$31=Construction!$R$22,Oeko!CD380,Oeko!EQ380)</f>
        <v>1</v>
      </c>
      <c r="R380" s="1979">
        <f>IF(Construction!$F$31=Construction!$R$22,Oeko!CE380,Oeko!ER380)</f>
        <v>1</v>
      </c>
      <c r="S380" s="1998">
        <f>IF(Construction!$F$31=Construction!$R$22,Oeko!CF380,Oeko!ES380)</f>
        <v>1</v>
      </c>
      <c r="T380" s="1998">
        <f>IF(Construction!$F$31=Construction!$R$22,Oeko!CG380,Oeko!ET380)</f>
        <v>1</v>
      </c>
      <c r="U380" s="1998">
        <f>IF(Construction!$F$31=Construction!$R$22,Oeko!CH380,Oeko!EU380)</f>
        <v>1</v>
      </c>
      <c r="V380" s="1998">
        <f>IF(Construction!$F$31=Construction!$R$22,Oeko!CI380,Oeko!EV380)</f>
        <v>1</v>
      </c>
      <c r="W380" s="1998">
        <f>IF(Construction!$F$31=Construction!$R$22,Oeko!CJ380,Oeko!EW380)</f>
        <v>1</v>
      </c>
      <c r="X380" s="1979">
        <f>IF(Construction!$F$31=Construction!$R$22,Oeko!CK380,Oeko!EX380)</f>
        <v>1</v>
      </c>
      <c r="Y380" s="1979">
        <f>IF(Construction!$F$31=Construction!$R$22,Oeko!CL380,Oeko!EY380)</f>
        <v>1</v>
      </c>
      <c r="Z380" s="1979">
        <f>IF(Construction!$F$31=Construction!$R$22,Oeko!CM380,Oeko!EZ380)</f>
        <v>1</v>
      </c>
      <c r="AA380" s="1979">
        <f>IF(Construction!$F$31=Construction!$R$22,Oeko!CN380,Oeko!FA380)</f>
        <v>1</v>
      </c>
      <c r="AB380" s="1979">
        <f>IF(Construction!$F$31=Construction!$R$22,Oeko!CO380,Oeko!FB380)</f>
        <v>1</v>
      </c>
      <c r="AC380" s="1998">
        <f>IF(Construction!$F$31=Construction!$R$22,Oeko!CP380,Oeko!FC380)</f>
        <v>1</v>
      </c>
      <c r="AD380" s="1998">
        <f>IF(Construction!$F$31=Construction!$R$22,Oeko!CQ380,Oeko!FD380)</f>
        <v>1</v>
      </c>
      <c r="AE380" s="1998">
        <f>IF(Construction!$F$31=Construction!$R$22,Oeko!CR380,Oeko!FE380)</f>
        <v>1</v>
      </c>
      <c r="AF380" s="1998">
        <f>IF(Construction!$F$31=Construction!$R$22,Oeko!CS380,Oeko!FF380)</f>
        <v>1</v>
      </c>
      <c r="AG380" s="1998">
        <f>IF(Construction!$F$31=Construction!$R$22,Oeko!CT380,Oeko!FG380)</f>
        <v>1</v>
      </c>
      <c r="AH380" s="1979">
        <f>IF(Construction!$F$31=Construction!$R$22,Oeko!CU380,Oeko!FH380)</f>
        <v>1</v>
      </c>
      <c r="AI380" s="1979">
        <f>IF(Construction!$F$31=Construction!$R$22,Oeko!CV380,Oeko!FI380)</f>
        <v>1</v>
      </c>
      <c r="AJ380" s="1979">
        <f>IF(Construction!$F$31=Construction!$R$22,Oeko!CW380,Oeko!FJ380)</f>
        <v>1</v>
      </c>
      <c r="AK380" s="1979">
        <f>IF(Construction!$F$31=Construction!$R$22,Oeko!CX380,Oeko!FK380)</f>
        <v>1</v>
      </c>
      <c r="AL380" s="1979">
        <f>IF(Construction!$F$31=Construction!$R$22,Oeko!CY380,Oeko!FL380)</f>
        <v>1</v>
      </c>
      <c r="AM380" s="1998">
        <f>IF(Construction!$F$31=Construction!$R$22,Oeko!CZ380,Oeko!FM380)</f>
        <v>1</v>
      </c>
      <c r="AN380" s="1998">
        <f>IF(Construction!$F$31=Construction!$R$22,Oeko!DA380,Oeko!FN380)</f>
        <v>1</v>
      </c>
      <c r="AO380" s="1998">
        <f>IF(Construction!$F$31=Construction!$R$22,Oeko!DB380,Oeko!FO380)</f>
        <v>1</v>
      </c>
      <c r="AP380" s="1998">
        <f>IF(Construction!$F$31=Construction!$R$22,Oeko!DC380,Oeko!FP380)</f>
        <v>1</v>
      </c>
      <c r="AQ380" s="1998">
        <f>IF(Construction!$F$31=Construction!$R$22,Oeko!DD380,Oeko!FQ380)</f>
        <v>1</v>
      </c>
      <c r="AR380" s="1979">
        <f>IF(Construction!$F$31=Construction!$R$22,Oeko!DE380,Oeko!FR380)</f>
        <v>1</v>
      </c>
      <c r="AS380" s="1979">
        <f>IF(Construction!$F$31=Construction!$R$22,Oeko!DF380,Oeko!FS380)</f>
        <v>1</v>
      </c>
      <c r="AT380" s="1979">
        <f>IF(Construction!$F$31=Construction!$R$22,Oeko!DG380,Oeko!FT380)</f>
        <v>1</v>
      </c>
      <c r="AU380" s="1979">
        <f>IF(Construction!$F$31=Construction!$R$22,Oeko!DH380,Oeko!FU380)</f>
        <v>1</v>
      </c>
      <c r="AV380" s="1979">
        <f>IF(Construction!$F$31=Construction!$R$22,Oeko!DI380,Oeko!FV380)</f>
        <v>1</v>
      </c>
      <c r="AW380" s="1998">
        <f>IF(Construction!$F$31=Construction!$R$22,Oeko!DJ380,Oeko!FW380)</f>
        <v>1</v>
      </c>
      <c r="AX380" s="1998">
        <f>IF(Construction!$F$31=Construction!$R$22,Oeko!DK380,Oeko!FX380)</f>
        <v>1</v>
      </c>
      <c r="AY380" s="1998">
        <f>IF(Construction!$F$31=Construction!$R$22,Oeko!DL380,Oeko!FY380)</f>
        <v>1</v>
      </c>
      <c r="AZ380" s="1998">
        <f>IF(Construction!$F$31=Construction!$R$22,Oeko!DM380,Oeko!FZ380)</f>
        <v>1</v>
      </c>
      <c r="BA380" s="1998">
        <f>IF(Construction!$F$31=Construction!$R$22,Oeko!DN380,Oeko!GA380)</f>
        <v>1</v>
      </c>
      <c r="BB380" s="1979">
        <f>IF(Construction!$F$31=Construction!$R$22,Oeko!DO380,Oeko!GB380)</f>
        <v>1</v>
      </c>
      <c r="BC380" s="1979">
        <f>IF(Construction!$F$31=Construction!$R$22,Oeko!DP380,Oeko!GC380)</f>
        <v>1</v>
      </c>
      <c r="BD380" s="1979">
        <f>IF(Construction!$F$31=Construction!$R$22,Oeko!DQ380,Oeko!GD380)</f>
        <v>1</v>
      </c>
      <c r="BE380" s="1979">
        <f>IF(Construction!$F$31=Construction!$R$22,Oeko!DR380,Oeko!GE380)</f>
        <v>1</v>
      </c>
      <c r="BF380" s="1979">
        <f>IF(Construction!$F$31=Construction!$R$22,Oeko!DS380,Oeko!GF380)</f>
        <v>1</v>
      </c>
      <c r="BG380" s="1998">
        <f>IF(Construction!$F$31=Construction!$R$22,Oeko!DT380,Oeko!GG380)</f>
        <v>1</v>
      </c>
      <c r="BH380" s="1998">
        <f>IF(Construction!$F$31=Construction!$R$22,Oeko!DU380,Oeko!GH380)</f>
        <v>1</v>
      </c>
      <c r="BI380" s="1998">
        <f>IF(Construction!$F$31=Construction!$R$22,Oeko!DV380,Oeko!GI380)</f>
        <v>1</v>
      </c>
      <c r="BJ380" s="1998">
        <f>IF(Construction!$F$31=Construction!$R$22,Oeko!DW380,Oeko!GJ380)</f>
        <v>1</v>
      </c>
      <c r="BK380" s="2026">
        <f>IF(Construction!$F$31=Construction!$R$22,Oeko!DX380,Oeko!GK380)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IF(Construction!$F$31=Construction!$R$22,Oeko!BQ381,Oeko!ED381)</f>
        <v>1</v>
      </c>
      <c r="E381" s="1979">
        <f>IF(Construction!$F$31=Construction!$R$22,Oeko!BR381,Oeko!EE381)</f>
        <v>1</v>
      </c>
      <c r="F381" s="1979">
        <f>IF(Construction!$F$31=Construction!$R$22,Oeko!BS381,Oeko!EF381)</f>
        <v>1</v>
      </c>
      <c r="G381" s="1979">
        <f>IF(Construction!$F$31=Construction!$R$22,Oeko!BT381,Oeko!EG381)</f>
        <v>1</v>
      </c>
      <c r="H381" s="1979">
        <f>IF(Construction!$F$31=Construction!$R$22,Oeko!BU381,Oeko!EH381)</f>
        <v>1</v>
      </c>
      <c r="I381" s="1998">
        <f>IF(Construction!$F$31=Construction!$R$22,Oeko!BV381,Oeko!EI381)</f>
        <v>1</v>
      </c>
      <c r="J381" s="1998">
        <f>IF(Construction!$F$31=Construction!$R$22,Oeko!BW381,Oeko!EJ381)</f>
        <v>1</v>
      </c>
      <c r="K381" s="1998">
        <f>IF(Construction!$F$31=Construction!$R$22,Oeko!BX381,Oeko!EK381)</f>
        <v>1</v>
      </c>
      <c r="L381" s="1998">
        <f>IF(Construction!$F$31=Construction!$R$22,Oeko!BY381,Oeko!EL381)</f>
        <v>1</v>
      </c>
      <c r="M381" s="1998">
        <f>IF(Construction!$F$31=Construction!$R$22,Oeko!BZ381,Oeko!EM381)</f>
        <v>1</v>
      </c>
      <c r="N381" s="1979">
        <f>IF(Construction!$F$31=Construction!$R$22,Oeko!CA381,Oeko!EN381)</f>
        <v>1</v>
      </c>
      <c r="O381" s="1979">
        <f>IF(Construction!$F$31=Construction!$R$22,Oeko!CB381,Oeko!EO381)</f>
        <v>1</v>
      </c>
      <c r="P381" s="1979">
        <f>IF(Construction!$F$31=Construction!$R$22,Oeko!CC381,Oeko!EP381)</f>
        <v>1</v>
      </c>
      <c r="Q381" s="1979">
        <f>IF(Construction!$F$31=Construction!$R$22,Oeko!CD381,Oeko!EQ381)</f>
        <v>1</v>
      </c>
      <c r="R381" s="1979">
        <f>IF(Construction!$F$31=Construction!$R$22,Oeko!CE381,Oeko!ER381)</f>
        <v>1</v>
      </c>
      <c r="S381" s="1998">
        <f>IF(Construction!$F$31=Construction!$R$22,Oeko!CF381,Oeko!ES381)</f>
        <v>1</v>
      </c>
      <c r="T381" s="1998">
        <f>IF(Construction!$F$31=Construction!$R$22,Oeko!CG381,Oeko!ET381)</f>
        <v>1</v>
      </c>
      <c r="U381" s="1998">
        <f>IF(Construction!$F$31=Construction!$R$22,Oeko!CH381,Oeko!EU381)</f>
        <v>1</v>
      </c>
      <c r="V381" s="1998">
        <f>IF(Construction!$F$31=Construction!$R$22,Oeko!CI381,Oeko!EV381)</f>
        <v>1</v>
      </c>
      <c r="W381" s="1998">
        <f>IF(Construction!$F$31=Construction!$R$22,Oeko!CJ381,Oeko!EW381)</f>
        <v>1</v>
      </c>
      <c r="X381" s="1979">
        <f>IF(Construction!$F$31=Construction!$R$22,Oeko!CK381,Oeko!EX381)</f>
        <v>1</v>
      </c>
      <c r="Y381" s="1979">
        <f>IF(Construction!$F$31=Construction!$R$22,Oeko!CL381,Oeko!EY381)</f>
        <v>1</v>
      </c>
      <c r="Z381" s="1979">
        <f>IF(Construction!$F$31=Construction!$R$22,Oeko!CM381,Oeko!EZ381)</f>
        <v>1</v>
      </c>
      <c r="AA381" s="1979">
        <f>IF(Construction!$F$31=Construction!$R$22,Oeko!CN381,Oeko!FA381)</f>
        <v>1</v>
      </c>
      <c r="AB381" s="1979">
        <f>IF(Construction!$F$31=Construction!$R$22,Oeko!CO381,Oeko!FB381)</f>
        <v>1</v>
      </c>
      <c r="AC381" s="1998">
        <f>IF(Construction!$F$31=Construction!$R$22,Oeko!CP381,Oeko!FC381)</f>
        <v>1</v>
      </c>
      <c r="AD381" s="1998">
        <f>IF(Construction!$F$31=Construction!$R$22,Oeko!CQ381,Oeko!FD381)</f>
        <v>1</v>
      </c>
      <c r="AE381" s="1998">
        <f>IF(Construction!$F$31=Construction!$R$22,Oeko!CR381,Oeko!FE381)</f>
        <v>1</v>
      </c>
      <c r="AF381" s="1998">
        <f>IF(Construction!$F$31=Construction!$R$22,Oeko!CS381,Oeko!FF381)</f>
        <v>1</v>
      </c>
      <c r="AG381" s="1998">
        <f>IF(Construction!$F$31=Construction!$R$22,Oeko!CT381,Oeko!FG381)</f>
        <v>1</v>
      </c>
      <c r="AH381" s="1979">
        <f>IF(Construction!$F$31=Construction!$R$22,Oeko!CU381,Oeko!FH381)</f>
        <v>1</v>
      </c>
      <c r="AI381" s="1979">
        <f>IF(Construction!$F$31=Construction!$R$22,Oeko!CV381,Oeko!FI381)</f>
        <v>1</v>
      </c>
      <c r="AJ381" s="1979">
        <f>IF(Construction!$F$31=Construction!$R$22,Oeko!CW381,Oeko!FJ381)</f>
        <v>1</v>
      </c>
      <c r="AK381" s="1979">
        <f>IF(Construction!$F$31=Construction!$R$22,Oeko!CX381,Oeko!FK381)</f>
        <v>1</v>
      </c>
      <c r="AL381" s="1979">
        <f>IF(Construction!$F$31=Construction!$R$22,Oeko!CY381,Oeko!FL381)</f>
        <v>1</v>
      </c>
      <c r="AM381" s="1998">
        <f>IF(Construction!$F$31=Construction!$R$22,Oeko!CZ381,Oeko!FM381)</f>
        <v>1</v>
      </c>
      <c r="AN381" s="1998">
        <f>IF(Construction!$F$31=Construction!$R$22,Oeko!DA381,Oeko!FN381)</f>
        <v>1</v>
      </c>
      <c r="AO381" s="1998">
        <f>IF(Construction!$F$31=Construction!$R$22,Oeko!DB381,Oeko!FO381)</f>
        <v>1</v>
      </c>
      <c r="AP381" s="1998">
        <f>IF(Construction!$F$31=Construction!$R$22,Oeko!DC381,Oeko!FP381)</f>
        <v>1</v>
      </c>
      <c r="AQ381" s="1998">
        <f>IF(Construction!$F$31=Construction!$R$22,Oeko!DD381,Oeko!FQ381)</f>
        <v>1</v>
      </c>
      <c r="AR381" s="1979">
        <f>IF(Construction!$F$31=Construction!$R$22,Oeko!DE381,Oeko!FR381)</f>
        <v>1</v>
      </c>
      <c r="AS381" s="1979">
        <f>IF(Construction!$F$31=Construction!$R$22,Oeko!DF381,Oeko!FS381)</f>
        <v>1</v>
      </c>
      <c r="AT381" s="1979">
        <f>IF(Construction!$F$31=Construction!$R$22,Oeko!DG381,Oeko!FT381)</f>
        <v>1</v>
      </c>
      <c r="AU381" s="1979">
        <f>IF(Construction!$F$31=Construction!$R$22,Oeko!DH381,Oeko!FU381)</f>
        <v>1</v>
      </c>
      <c r="AV381" s="1979">
        <f>IF(Construction!$F$31=Construction!$R$22,Oeko!DI381,Oeko!FV381)</f>
        <v>1</v>
      </c>
      <c r="AW381" s="1998">
        <f>IF(Construction!$F$31=Construction!$R$22,Oeko!DJ381,Oeko!FW381)</f>
        <v>1</v>
      </c>
      <c r="AX381" s="1998">
        <f>IF(Construction!$F$31=Construction!$R$22,Oeko!DK381,Oeko!FX381)</f>
        <v>1</v>
      </c>
      <c r="AY381" s="1998">
        <f>IF(Construction!$F$31=Construction!$R$22,Oeko!DL381,Oeko!FY381)</f>
        <v>1</v>
      </c>
      <c r="AZ381" s="1998">
        <f>IF(Construction!$F$31=Construction!$R$22,Oeko!DM381,Oeko!FZ381)</f>
        <v>1</v>
      </c>
      <c r="BA381" s="1998">
        <f>IF(Construction!$F$31=Construction!$R$22,Oeko!DN381,Oeko!GA381)</f>
        <v>1</v>
      </c>
      <c r="BB381" s="1979">
        <f>IF(Construction!$F$31=Construction!$R$22,Oeko!DO381,Oeko!GB381)</f>
        <v>1</v>
      </c>
      <c r="BC381" s="1979">
        <f>IF(Construction!$F$31=Construction!$R$22,Oeko!DP381,Oeko!GC381)</f>
        <v>1</v>
      </c>
      <c r="BD381" s="1979">
        <f>IF(Construction!$F$31=Construction!$R$22,Oeko!DQ381,Oeko!GD381)</f>
        <v>1</v>
      </c>
      <c r="BE381" s="1979">
        <f>IF(Construction!$F$31=Construction!$R$22,Oeko!DR381,Oeko!GE381)</f>
        <v>1</v>
      </c>
      <c r="BF381" s="1979">
        <f>IF(Construction!$F$31=Construction!$R$22,Oeko!DS381,Oeko!GF381)</f>
        <v>1</v>
      </c>
      <c r="BG381" s="1998">
        <f>IF(Construction!$F$31=Construction!$R$22,Oeko!DT381,Oeko!GG381)</f>
        <v>1</v>
      </c>
      <c r="BH381" s="1998">
        <f>IF(Construction!$F$31=Construction!$R$22,Oeko!DU381,Oeko!GH381)</f>
        <v>1</v>
      </c>
      <c r="BI381" s="1998">
        <f>IF(Construction!$F$31=Construction!$R$22,Oeko!DV381,Oeko!GI381)</f>
        <v>1</v>
      </c>
      <c r="BJ381" s="1998">
        <f>IF(Construction!$F$31=Construction!$R$22,Oeko!DW381,Oeko!GJ381)</f>
        <v>1</v>
      </c>
      <c r="BK381" s="2026">
        <f>IF(Construction!$F$31=Construction!$R$22,Oeko!DX381,Oeko!GK381)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IF(Construction!$F$31=Construction!$R$22,Oeko!BQ382,Oeko!ED382)</f>
        <v>1</v>
      </c>
      <c r="E382" s="1979">
        <f>IF(Construction!$F$31=Construction!$R$22,Oeko!BR382,Oeko!EE382)</f>
        <v>1</v>
      </c>
      <c r="F382" s="1979">
        <f>IF(Construction!$F$31=Construction!$R$22,Oeko!BS382,Oeko!EF382)</f>
        <v>1</v>
      </c>
      <c r="G382" s="1979">
        <f>IF(Construction!$F$31=Construction!$R$22,Oeko!BT382,Oeko!EG382)</f>
        <v>1</v>
      </c>
      <c r="H382" s="1979">
        <f>IF(Construction!$F$31=Construction!$R$22,Oeko!BU382,Oeko!EH382)</f>
        <v>1</v>
      </c>
      <c r="I382" s="1998">
        <f>IF(Construction!$F$31=Construction!$R$22,Oeko!BV382,Oeko!EI382)</f>
        <v>1</v>
      </c>
      <c r="J382" s="1998">
        <f>IF(Construction!$F$31=Construction!$R$22,Oeko!BW382,Oeko!EJ382)</f>
        <v>1</v>
      </c>
      <c r="K382" s="1998">
        <f>IF(Construction!$F$31=Construction!$R$22,Oeko!BX382,Oeko!EK382)</f>
        <v>1</v>
      </c>
      <c r="L382" s="1998">
        <f>IF(Construction!$F$31=Construction!$R$22,Oeko!BY382,Oeko!EL382)</f>
        <v>1</v>
      </c>
      <c r="M382" s="1998">
        <f>IF(Construction!$F$31=Construction!$R$22,Oeko!BZ382,Oeko!EM382)</f>
        <v>1</v>
      </c>
      <c r="N382" s="1979">
        <f>IF(Construction!$F$31=Construction!$R$22,Oeko!CA382,Oeko!EN382)</f>
        <v>1</v>
      </c>
      <c r="O382" s="1979">
        <f>IF(Construction!$F$31=Construction!$R$22,Oeko!CB382,Oeko!EO382)</f>
        <v>1</v>
      </c>
      <c r="P382" s="1979">
        <f>IF(Construction!$F$31=Construction!$R$22,Oeko!CC382,Oeko!EP382)</f>
        <v>1</v>
      </c>
      <c r="Q382" s="1979">
        <f>IF(Construction!$F$31=Construction!$R$22,Oeko!CD382,Oeko!EQ382)</f>
        <v>1</v>
      </c>
      <c r="R382" s="1979">
        <f>IF(Construction!$F$31=Construction!$R$22,Oeko!CE382,Oeko!ER382)</f>
        <v>1</v>
      </c>
      <c r="S382" s="1998">
        <f>IF(Construction!$F$31=Construction!$R$22,Oeko!CF382,Oeko!ES382)</f>
        <v>1</v>
      </c>
      <c r="T382" s="1998">
        <f>IF(Construction!$F$31=Construction!$R$22,Oeko!CG382,Oeko!ET382)</f>
        <v>1</v>
      </c>
      <c r="U382" s="1998">
        <f>IF(Construction!$F$31=Construction!$R$22,Oeko!CH382,Oeko!EU382)</f>
        <v>1</v>
      </c>
      <c r="V382" s="1998">
        <f>IF(Construction!$F$31=Construction!$R$22,Oeko!CI382,Oeko!EV382)</f>
        <v>1</v>
      </c>
      <c r="W382" s="1998">
        <f>IF(Construction!$F$31=Construction!$R$22,Oeko!CJ382,Oeko!EW382)</f>
        <v>1</v>
      </c>
      <c r="X382" s="1979">
        <f>IF(Construction!$F$31=Construction!$R$22,Oeko!CK382,Oeko!EX382)</f>
        <v>1</v>
      </c>
      <c r="Y382" s="1979">
        <f>IF(Construction!$F$31=Construction!$R$22,Oeko!CL382,Oeko!EY382)</f>
        <v>1</v>
      </c>
      <c r="Z382" s="1979">
        <f>IF(Construction!$F$31=Construction!$R$22,Oeko!CM382,Oeko!EZ382)</f>
        <v>1</v>
      </c>
      <c r="AA382" s="1979">
        <f>IF(Construction!$F$31=Construction!$R$22,Oeko!CN382,Oeko!FA382)</f>
        <v>1</v>
      </c>
      <c r="AB382" s="1979">
        <f>IF(Construction!$F$31=Construction!$R$22,Oeko!CO382,Oeko!FB382)</f>
        <v>1</v>
      </c>
      <c r="AC382" s="1998">
        <f>IF(Construction!$F$31=Construction!$R$22,Oeko!CP382,Oeko!FC382)</f>
        <v>1</v>
      </c>
      <c r="AD382" s="1998">
        <f>IF(Construction!$F$31=Construction!$R$22,Oeko!CQ382,Oeko!FD382)</f>
        <v>1</v>
      </c>
      <c r="AE382" s="1998">
        <f>IF(Construction!$F$31=Construction!$R$22,Oeko!CR382,Oeko!FE382)</f>
        <v>1</v>
      </c>
      <c r="AF382" s="1998">
        <f>IF(Construction!$F$31=Construction!$R$22,Oeko!CS382,Oeko!FF382)</f>
        <v>1</v>
      </c>
      <c r="AG382" s="1998">
        <f>IF(Construction!$F$31=Construction!$R$22,Oeko!CT382,Oeko!FG382)</f>
        <v>1</v>
      </c>
      <c r="AH382" s="1979">
        <f>IF(Construction!$F$31=Construction!$R$22,Oeko!CU382,Oeko!FH382)</f>
        <v>1</v>
      </c>
      <c r="AI382" s="1979">
        <f>IF(Construction!$F$31=Construction!$R$22,Oeko!CV382,Oeko!FI382)</f>
        <v>1</v>
      </c>
      <c r="AJ382" s="1979">
        <f>IF(Construction!$F$31=Construction!$R$22,Oeko!CW382,Oeko!FJ382)</f>
        <v>1</v>
      </c>
      <c r="AK382" s="1979">
        <f>IF(Construction!$F$31=Construction!$R$22,Oeko!CX382,Oeko!FK382)</f>
        <v>1</v>
      </c>
      <c r="AL382" s="1979">
        <f>IF(Construction!$F$31=Construction!$R$22,Oeko!CY382,Oeko!FL382)</f>
        <v>1</v>
      </c>
      <c r="AM382" s="1998">
        <f>IF(Construction!$F$31=Construction!$R$22,Oeko!CZ382,Oeko!FM382)</f>
        <v>1</v>
      </c>
      <c r="AN382" s="1998">
        <f>IF(Construction!$F$31=Construction!$R$22,Oeko!DA382,Oeko!FN382)</f>
        <v>1</v>
      </c>
      <c r="AO382" s="1998">
        <f>IF(Construction!$F$31=Construction!$R$22,Oeko!DB382,Oeko!FO382)</f>
        <v>1</v>
      </c>
      <c r="AP382" s="1998">
        <f>IF(Construction!$F$31=Construction!$R$22,Oeko!DC382,Oeko!FP382)</f>
        <v>1</v>
      </c>
      <c r="AQ382" s="1998">
        <f>IF(Construction!$F$31=Construction!$R$22,Oeko!DD382,Oeko!FQ382)</f>
        <v>1</v>
      </c>
      <c r="AR382" s="1979">
        <f>IF(Construction!$F$31=Construction!$R$22,Oeko!DE382,Oeko!FR382)</f>
        <v>1</v>
      </c>
      <c r="AS382" s="1979">
        <f>IF(Construction!$F$31=Construction!$R$22,Oeko!DF382,Oeko!FS382)</f>
        <v>1</v>
      </c>
      <c r="AT382" s="1979">
        <f>IF(Construction!$F$31=Construction!$R$22,Oeko!DG382,Oeko!FT382)</f>
        <v>1</v>
      </c>
      <c r="AU382" s="1979">
        <f>IF(Construction!$F$31=Construction!$R$22,Oeko!DH382,Oeko!FU382)</f>
        <v>1</v>
      </c>
      <c r="AV382" s="1979">
        <f>IF(Construction!$F$31=Construction!$R$22,Oeko!DI382,Oeko!FV382)</f>
        <v>1</v>
      </c>
      <c r="AW382" s="1998">
        <f>IF(Construction!$F$31=Construction!$R$22,Oeko!DJ382,Oeko!FW382)</f>
        <v>1</v>
      </c>
      <c r="AX382" s="1998">
        <f>IF(Construction!$F$31=Construction!$R$22,Oeko!DK382,Oeko!FX382)</f>
        <v>1</v>
      </c>
      <c r="AY382" s="1998">
        <f>IF(Construction!$F$31=Construction!$R$22,Oeko!DL382,Oeko!FY382)</f>
        <v>1</v>
      </c>
      <c r="AZ382" s="1998">
        <f>IF(Construction!$F$31=Construction!$R$22,Oeko!DM382,Oeko!FZ382)</f>
        <v>1</v>
      </c>
      <c r="BA382" s="1998">
        <f>IF(Construction!$F$31=Construction!$R$22,Oeko!DN382,Oeko!GA382)</f>
        <v>1</v>
      </c>
      <c r="BB382" s="1979">
        <f>IF(Construction!$F$31=Construction!$R$22,Oeko!DO382,Oeko!GB382)</f>
        <v>1</v>
      </c>
      <c r="BC382" s="1979">
        <f>IF(Construction!$F$31=Construction!$R$22,Oeko!DP382,Oeko!GC382)</f>
        <v>1</v>
      </c>
      <c r="BD382" s="1979">
        <f>IF(Construction!$F$31=Construction!$R$22,Oeko!DQ382,Oeko!GD382)</f>
        <v>1</v>
      </c>
      <c r="BE382" s="1979">
        <f>IF(Construction!$F$31=Construction!$R$22,Oeko!DR382,Oeko!GE382)</f>
        <v>1</v>
      </c>
      <c r="BF382" s="1979">
        <f>IF(Construction!$F$31=Construction!$R$22,Oeko!DS382,Oeko!GF382)</f>
        <v>1</v>
      </c>
      <c r="BG382" s="1998">
        <f>IF(Construction!$F$31=Construction!$R$22,Oeko!DT382,Oeko!GG382)</f>
        <v>1</v>
      </c>
      <c r="BH382" s="1998">
        <f>IF(Construction!$F$31=Construction!$R$22,Oeko!DU382,Oeko!GH382)</f>
        <v>1</v>
      </c>
      <c r="BI382" s="1998">
        <f>IF(Construction!$F$31=Construction!$R$22,Oeko!DV382,Oeko!GI382)</f>
        <v>1</v>
      </c>
      <c r="BJ382" s="1998">
        <f>IF(Construction!$F$31=Construction!$R$22,Oeko!DW382,Oeko!GJ382)</f>
        <v>1</v>
      </c>
      <c r="BK382" s="2026">
        <f>IF(Construction!$F$31=Construction!$R$22,Oeko!DX382,Oeko!GK382)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IF(Construction!$F$31=Construction!$R$22,Oeko!BQ383,Oeko!ED383)</f>
        <v>1</v>
      </c>
      <c r="E383" s="1979">
        <f>IF(Construction!$F$31=Construction!$R$22,Oeko!BR383,Oeko!EE383)</f>
        <v>1</v>
      </c>
      <c r="F383" s="1979">
        <f>IF(Construction!$F$31=Construction!$R$22,Oeko!BS383,Oeko!EF383)</f>
        <v>1</v>
      </c>
      <c r="G383" s="1979">
        <f>IF(Construction!$F$31=Construction!$R$22,Oeko!BT383,Oeko!EG383)</f>
        <v>1</v>
      </c>
      <c r="H383" s="1979">
        <f>IF(Construction!$F$31=Construction!$R$22,Oeko!BU383,Oeko!EH383)</f>
        <v>1</v>
      </c>
      <c r="I383" s="1998">
        <f>IF(Construction!$F$31=Construction!$R$22,Oeko!BV383,Oeko!EI383)</f>
        <v>1</v>
      </c>
      <c r="J383" s="1998">
        <f>IF(Construction!$F$31=Construction!$R$22,Oeko!BW383,Oeko!EJ383)</f>
        <v>1</v>
      </c>
      <c r="K383" s="1998">
        <f>IF(Construction!$F$31=Construction!$R$22,Oeko!BX383,Oeko!EK383)</f>
        <v>1</v>
      </c>
      <c r="L383" s="1998">
        <f>IF(Construction!$F$31=Construction!$R$22,Oeko!BY383,Oeko!EL383)</f>
        <v>1</v>
      </c>
      <c r="M383" s="1998">
        <f>IF(Construction!$F$31=Construction!$R$22,Oeko!BZ383,Oeko!EM383)</f>
        <v>1</v>
      </c>
      <c r="N383" s="1979">
        <f>IF(Construction!$F$31=Construction!$R$22,Oeko!CA383,Oeko!EN383)</f>
        <v>1</v>
      </c>
      <c r="O383" s="1979">
        <f>IF(Construction!$F$31=Construction!$R$22,Oeko!CB383,Oeko!EO383)</f>
        <v>1</v>
      </c>
      <c r="P383" s="1979">
        <f>IF(Construction!$F$31=Construction!$R$22,Oeko!CC383,Oeko!EP383)</f>
        <v>1</v>
      </c>
      <c r="Q383" s="1979">
        <f>IF(Construction!$F$31=Construction!$R$22,Oeko!CD383,Oeko!EQ383)</f>
        <v>1</v>
      </c>
      <c r="R383" s="1979">
        <f>IF(Construction!$F$31=Construction!$R$22,Oeko!CE383,Oeko!ER383)</f>
        <v>1</v>
      </c>
      <c r="S383" s="1998">
        <f>IF(Construction!$F$31=Construction!$R$22,Oeko!CF383,Oeko!ES383)</f>
        <v>1</v>
      </c>
      <c r="T383" s="1998">
        <f>IF(Construction!$F$31=Construction!$R$22,Oeko!CG383,Oeko!ET383)</f>
        <v>1</v>
      </c>
      <c r="U383" s="1998">
        <f>IF(Construction!$F$31=Construction!$R$22,Oeko!CH383,Oeko!EU383)</f>
        <v>1</v>
      </c>
      <c r="V383" s="1998">
        <f>IF(Construction!$F$31=Construction!$R$22,Oeko!CI383,Oeko!EV383)</f>
        <v>1</v>
      </c>
      <c r="W383" s="1998">
        <f>IF(Construction!$F$31=Construction!$R$22,Oeko!CJ383,Oeko!EW383)</f>
        <v>1</v>
      </c>
      <c r="X383" s="1979">
        <f>IF(Construction!$F$31=Construction!$R$22,Oeko!CK383,Oeko!EX383)</f>
        <v>1</v>
      </c>
      <c r="Y383" s="1979">
        <f>IF(Construction!$F$31=Construction!$R$22,Oeko!CL383,Oeko!EY383)</f>
        <v>1</v>
      </c>
      <c r="Z383" s="1979">
        <f>IF(Construction!$F$31=Construction!$R$22,Oeko!CM383,Oeko!EZ383)</f>
        <v>1</v>
      </c>
      <c r="AA383" s="1979">
        <f>IF(Construction!$F$31=Construction!$R$22,Oeko!CN383,Oeko!FA383)</f>
        <v>1</v>
      </c>
      <c r="AB383" s="1979">
        <f>IF(Construction!$F$31=Construction!$R$22,Oeko!CO383,Oeko!FB383)</f>
        <v>1</v>
      </c>
      <c r="AC383" s="1998">
        <f>IF(Construction!$F$31=Construction!$R$22,Oeko!CP383,Oeko!FC383)</f>
        <v>1</v>
      </c>
      <c r="AD383" s="1998">
        <f>IF(Construction!$F$31=Construction!$R$22,Oeko!CQ383,Oeko!FD383)</f>
        <v>1</v>
      </c>
      <c r="AE383" s="1998">
        <f>IF(Construction!$F$31=Construction!$R$22,Oeko!CR383,Oeko!FE383)</f>
        <v>1</v>
      </c>
      <c r="AF383" s="1998">
        <f>IF(Construction!$F$31=Construction!$R$22,Oeko!CS383,Oeko!FF383)</f>
        <v>1</v>
      </c>
      <c r="AG383" s="1998">
        <f>IF(Construction!$F$31=Construction!$R$22,Oeko!CT383,Oeko!FG383)</f>
        <v>1</v>
      </c>
      <c r="AH383" s="1979">
        <f>IF(Construction!$F$31=Construction!$R$22,Oeko!CU383,Oeko!FH383)</f>
        <v>1</v>
      </c>
      <c r="AI383" s="1979">
        <f>IF(Construction!$F$31=Construction!$R$22,Oeko!CV383,Oeko!FI383)</f>
        <v>1</v>
      </c>
      <c r="AJ383" s="1979">
        <f>IF(Construction!$F$31=Construction!$R$22,Oeko!CW383,Oeko!FJ383)</f>
        <v>1</v>
      </c>
      <c r="AK383" s="1979">
        <f>IF(Construction!$F$31=Construction!$R$22,Oeko!CX383,Oeko!FK383)</f>
        <v>1</v>
      </c>
      <c r="AL383" s="1979">
        <f>IF(Construction!$F$31=Construction!$R$22,Oeko!CY383,Oeko!FL383)</f>
        <v>1</v>
      </c>
      <c r="AM383" s="1998">
        <f>IF(Construction!$F$31=Construction!$R$22,Oeko!CZ383,Oeko!FM383)</f>
        <v>1</v>
      </c>
      <c r="AN383" s="1998">
        <f>IF(Construction!$F$31=Construction!$R$22,Oeko!DA383,Oeko!FN383)</f>
        <v>1</v>
      </c>
      <c r="AO383" s="1998">
        <f>IF(Construction!$F$31=Construction!$R$22,Oeko!DB383,Oeko!FO383)</f>
        <v>1</v>
      </c>
      <c r="AP383" s="1998">
        <f>IF(Construction!$F$31=Construction!$R$22,Oeko!DC383,Oeko!FP383)</f>
        <v>1</v>
      </c>
      <c r="AQ383" s="1998">
        <f>IF(Construction!$F$31=Construction!$R$22,Oeko!DD383,Oeko!FQ383)</f>
        <v>1</v>
      </c>
      <c r="AR383" s="1979">
        <f>IF(Construction!$F$31=Construction!$R$22,Oeko!DE383,Oeko!FR383)</f>
        <v>1</v>
      </c>
      <c r="AS383" s="1979">
        <f>IF(Construction!$F$31=Construction!$R$22,Oeko!DF383,Oeko!FS383)</f>
        <v>1</v>
      </c>
      <c r="AT383" s="1979">
        <f>IF(Construction!$F$31=Construction!$R$22,Oeko!DG383,Oeko!FT383)</f>
        <v>1</v>
      </c>
      <c r="AU383" s="1979">
        <f>IF(Construction!$F$31=Construction!$R$22,Oeko!DH383,Oeko!FU383)</f>
        <v>1</v>
      </c>
      <c r="AV383" s="1979">
        <f>IF(Construction!$F$31=Construction!$R$22,Oeko!DI383,Oeko!FV383)</f>
        <v>1</v>
      </c>
      <c r="AW383" s="1998">
        <f>IF(Construction!$F$31=Construction!$R$22,Oeko!DJ383,Oeko!FW383)</f>
        <v>1</v>
      </c>
      <c r="AX383" s="1998">
        <f>IF(Construction!$F$31=Construction!$R$22,Oeko!DK383,Oeko!FX383)</f>
        <v>1</v>
      </c>
      <c r="AY383" s="1998">
        <f>IF(Construction!$F$31=Construction!$R$22,Oeko!DL383,Oeko!FY383)</f>
        <v>1</v>
      </c>
      <c r="AZ383" s="1998">
        <f>IF(Construction!$F$31=Construction!$R$22,Oeko!DM383,Oeko!FZ383)</f>
        <v>1</v>
      </c>
      <c r="BA383" s="1998">
        <f>IF(Construction!$F$31=Construction!$R$22,Oeko!DN383,Oeko!GA383)</f>
        <v>1</v>
      </c>
      <c r="BB383" s="1979">
        <f>IF(Construction!$F$31=Construction!$R$22,Oeko!DO383,Oeko!GB383)</f>
        <v>1</v>
      </c>
      <c r="BC383" s="1979">
        <f>IF(Construction!$F$31=Construction!$R$22,Oeko!DP383,Oeko!GC383)</f>
        <v>1</v>
      </c>
      <c r="BD383" s="1979">
        <f>IF(Construction!$F$31=Construction!$R$22,Oeko!DQ383,Oeko!GD383)</f>
        <v>1</v>
      </c>
      <c r="BE383" s="1979">
        <f>IF(Construction!$F$31=Construction!$R$22,Oeko!DR383,Oeko!GE383)</f>
        <v>1</v>
      </c>
      <c r="BF383" s="1979">
        <f>IF(Construction!$F$31=Construction!$R$22,Oeko!DS383,Oeko!GF383)</f>
        <v>1</v>
      </c>
      <c r="BG383" s="1998">
        <f>IF(Construction!$F$31=Construction!$R$22,Oeko!DT383,Oeko!GG383)</f>
        <v>1</v>
      </c>
      <c r="BH383" s="1998">
        <f>IF(Construction!$F$31=Construction!$R$22,Oeko!DU383,Oeko!GH383)</f>
        <v>1</v>
      </c>
      <c r="BI383" s="1998">
        <f>IF(Construction!$F$31=Construction!$R$22,Oeko!DV383,Oeko!GI383)</f>
        <v>1</v>
      </c>
      <c r="BJ383" s="1998">
        <f>IF(Construction!$F$31=Construction!$R$22,Oeko!DW383,Oeko!GJ383)</f>
        <v>1</v>
      </c>
      <c r="BK383" s="2026">
        <f>IF(Construction!$F$31=Construction!$R$22,Oeko!DX383,Oeko!GK383)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IF(Construction!$F$31=Construction!$R$22,Oeko!BQ384,Oeko!ED384)</f>
        <v>1</v>
      </c>
      <c r="E384" s="1979">
        <f>IF(Construction!$F$31=Construction!$R$22,Oeko!BR384,Oeko!EE384)</f>
        <v>1</v>
      </c>
      <c r="F384" s="1979">
        <f>IF(Construction!$F$31=Construction!$R$22,Oeko!BS384,Oeko!EF384)</f>
        <v>1</v>
      </c>
      <c r="G384" s="1979">
        <f>IF(Construction!$F$31=Construction!$R$22,Oeko!BT384,Oeko!EG384)</f>
        <v>1</v>
      </c>
      <c r="H384" s="1979">
        <f>IF(Construction!$F$31=Construction!$R$22,Oeko!BU384,Oeko!EH384)</f>
        <v>1</v>
      </c>
      <c r="I384" s="1998">
        <f>IF(Construction!$F$31=Construction!$R$22,Oeko!BV384,Oeko!EI384)</f>
        <v>1</v>
      </c>
      <c r="J384" s="1998">
        <f>IF(Construction!$F$31=Construction!$R$22,Oeko!BW384,Oeko!EJ384)</f>
        <v>1</v>
      </c>
      <c r="K384" s="1998">
        <f>IF(Construction!$F$31=Construction!$R$22,Oeko!BX384,Oeko!EK384)</f>
        <v>1</v>
      </c>
      <c r="L384" s="1998">
        <f>IF(Construction!$F$31=Construction!$R$22,Oeko!BY384,Oeko!EL384)</f>
        <v>1</v>
      </c>
      <c r="M384" s="1998">
        <f>IF(Construction!$F$31=Construction!$R$22,Oeko!BZ384,Oeko!EM384)</f>
        <v>1</v>
      </c>
      <c r="N384" s="1979">
        <f>IF(Construction!$F$31=Construction!$R$22,Oeko!CA384,Oeko!EN384)</f>
        <v>1</v>
      </c>
      <c r="O384" s="1979">
        <f>IF(Construction!$F$31=Construction!$R$22,Oeko!CB384,Oeko!EO384)</f>
        <v>1</v>
      </c>
      <c r="P384" s="1979">
        <f>IF(Construction!$F$31=Construction!$R$22,Oeko!CC384,Oeko!EP384)</f>
        <v>1</v>
      </c>
      <c r="Q384" s="1979">
        <f>IF(Construction!$F$31=Construction!$R$22,Oeko!CD384,Oeko!EQ384)</f>
        <v>1</v>
      </c>
      <c r="R384" s="1979">
        <f>IF(Construction!$F$31=Construction!$R$22,Oeko!CE384,Oeko!ER384)</f>
        <v>1</v>
      </c>
      <c r="S384" s="1998">
        <f>IF(Construction!$F$31=Construction!$R$22,Oeko!CF384,Oeko!ES384)</f>
        <v>1</v>
      </c>
      <c r="T384" s="1998">
        <f>IF(Construction!$F$31=Construction!$R$22,Oeko!CG384,Oeko!ET384)</f>
        <v>1</v>
      </c>
      <c r="U384" s="1998">
        <f>IF(Construction!$F$31=Construction!$R$22,Oeko!CH384,Oeko!EU384)</f>
        <v>1</v>
      </c>
      <c r="V384" s="1998">
        <f>IF(Construction!$F$31=Construction!$R$22,Oeko!CI384,Oeko!EV384)</f>
        <v>1</v>
      </c>
      <c r="W384" s="1998">
        <f>IF(Construction!$F$31=Construction!$R$22,Oeko!CJ384,Oeko!EW384)</f>
        <v>1</v>
      </c>
      <c r="X384" s="1979">
        <f>IF(Construction!$F$31=Construction!$R$22,Oeko!CK384,Oeko!EX384)</f>
        <v>1</v>
      </c>
      <c r="Y384" s="1979">
        <f>IF(Construction!$F$31=Construction!$R$22,Oeko!CL384,Oeko!EY384)</f>
        <v>1</v>
      </c>
      <c r="Z384" s="1979">
        <f>IF(Construction!$F$31=Construction!$R$22,Oeko!CM384,Oeko!EZ384)</f>
        <v>1</v>
      </c>
      <c r="AA384" s="1979">
        <f>IF(Construction!$F$31=Construction!$R$22,Oeko!CN384,Oeko!FA384)</f>
        <v>1</v>
      </c>
      <c r="AB384" s="1979">
        <f>IF(Construction!$F$31=Construction!$R$22,Oeko!CO384,Oeko!FB384)</f>
        <v>1</v>
      </c>
      <c r="AC384" s="1998">
        <f>IF(Construction!$F$31=Construction!$R$22,Oeko!CP384,Oeko!FC384)</f>
        <v>1</v>
      </c>
      <c r="AD384" s="1998">
        <f>IF(Construction!$F$31=Construction!$R$22,Oeko!CQ384,Oeko!FD384)</f>
        <v>1</v>
      </c>
      <c r="AE384" s="1998">
        <f>IF(Construction!$F$31=Construction!$R$22,Oeko!CR384,Oeko!FE384)</f>
        <v>1</v>
      </c>
      <c r="AF384" s="1998">
        <f>IF(Construction!$F$31=Construction!$R$22,Oeko!CS384,Oeko!FF384)</f>
        <v>1</v>
      </c>
      <c r="AG384" s="1998">
        <f>IF(Construction!$F$31=Construction!$R$22,Oeko!CT384,Oeko!FG384)</f>
        <v>1</v>
      </c>
      <c r="AH384" s="1979">
        <f>IF(Construction!$F$31=Construction!$R$22,Oeko!CU384,Oeko!FH384)</f>
        <v>1</v>
      </c>
      <c r="AI384" s="1979">
        <f>IF(Construction!$F$31=Construction!$R$22,Oeko!CV384,Oeko!FI384)</f>
        <v>1</v>
      </c>
      <c r="AJ384" s="1979">
        <f>IF(Construction!$F$31=Construction!$R$22,Oeko!CW384,Oeko!FJ384)</f>
        <v>1</v>
      </c>
      <c r="AK384" s="1979">
        <f>IF(Construction!$F$31=Construction!$R$22,Oeko!CX384,Oeko!FK384)</f>
        <v>1</v>
      </c>
      <c r="AL384" s="1979">
        <f>IF(Construction!$F$31=Construction!$R$22,Oeko!CY384,Oeko!FL384)</f>
        <v>1</v>
      </c>
      <c r="AM384" s="1998">
        <f>IF(Construction!$F$31=Construction!$R$22,Oeko!CZ384,Oeko!FM384)</f>
        <v>1</v>
      </c>
      <c r="AN384" s="1998">
        <f>IF(Construction!$F$31=Construction!$R$22,Oeko!DA384,Oeko!FN384)</f>
        <v>1</v>
      </c>
      <c r="AO384" s="1998">
        <f>IF(Construction!$F$31=Construction!$R$22,Oeko!DB384,Oeko!FO384)</f>
        <v>1</v>
      </c>
      <c r="AP384" s="1998">
        <f>IF(Construction!$F$31=Construction!$R$22,Oeko!DC384,Oeko!FP384)</f>
        <v>1</v>
      </c>
      <c r="AQ384" s="1998">
        <f>IF(Construction!$F$31=Construction!$R$22,Oeko!DD384,Oeko!FQ384)</f>
        <v>1</v>
      </c>
      <c r="AR384" s="1979">
        <f>IF(Construction!$F$31=Construction!$R$22,Oeko!DE384,Oeko!FR384)</f>
        <v>1</v>
      </c>
      <c r="AS384" s="1979">
        <f>IF(Construction!$F$31=Construction!$R$22,Oeko!DF384,Oeko!FS384)</f>
        <v>1</v>
      </c>
      <c r="AT384" s="1979">
        <f>IF(Construction!$F$31=Construction!$R$22,Oeko!DG384,Oeko!FT384)</f>
        <v>1</v>
      </c>
      <c r="AU384" s="1979">
        <f>IF(Construction!$F$31=Construction!$R$22,Oeko!DH384,Oeko!FU384)</f>
        <v>1</v>
      </c>
      <c r="AV384" s="1979">
        <f>IF(Construction!$F$31=Construction!$R$22,Oeko!DI384,Oeko!FV384)</f>
        <v>1</v>
      </c>
      <c r="AW384" s="1998">
        <f>IF(Construction!$F$31=Construction!$R$22,Oeko!DJ384,Oeko!FW384)</f>
        <v>1</v>
      </c>
      <c r="AX384" s="1998">
        <f>IF(Construction!$F$31=Construction!$R$22,Oeko!DK384,Oeko!FX384)</f>
        <v>1</v>
      </c>
      <c r="AY384" s="1998">
        <f>IF(Construction!$F$31=Construction!$R$22,Oeko!DL384,Oeko!FY384)</f>
        <v>1</v>
      </c>
      <c r="AZ384" s="1998">
        <f>IF(Construction!$F$31=Construction!$R$22,Oeko!DM384,Oeko!FZ384)</f>
        <v>1</v>
      </c>
      <c r="BA384" s="1998">
        <f>IF(Construction!$F$31=Construction!$R$22,Oeko!DN384,Oeko!GA384)</f>
        <v>1</v>
      </c>
      <c r="BB384" s="1979">
        <f>IF(Construction!$F$31=Construction!$R$22,Oeko!DO384,Oeko!GB384)</f>
        <v>1</v>
      </c>
      <c r="BC384" s="1979">
        <f>IF(Construction!$F$31=Construction!$R$22,Oeko!DP384,Oeko!GC384)</f>
        <v>1</v>
      </c>
      <c r="BD384" s="1979">
        <f>IF(Construction!$F$31=Construction!$R$22,Oeko!DQ384,Oeko!GD384)</f>
        <v>1</v>
      </c>
      <c r="BE384" s="1979">
        <f>IF(Construction!$F$31=Construction!$R$22,Oeko!DR384,Oeko!GE384)</f>
        <v>1</v>
      </c>
      <c r="BF384" s="1979">
        <f>IF(Construction!$F$31=Construction!$R$22,Oeko!DS384,Oeko!GF384)</f>
        <v>1</v>
      </c>
      <c r="BG384" s="1998">
        <f>IF(Construction!$F$31=Construction!$R$22,Oeko!DT384,Oeko!GG384)</f>
        <v>1</v>
      </c>
      <c r="BH384" s="1998">
        <f>IF(Construction!$F$31=Construction!$R$22,Oeko!DU384,Oeko!GH384)</f>
        <v>1</v>
      </c>
      <c r="BI384" s="1998">
        <f>IF(Construction!$F$31=Construction!$R$22,Oeko!DV384,Oeko!GI384)</f>
        <v>1</v>
      </c>
      <c r="BJ384" s="1998">
        <f>IF(Construction!$F$31=Construction!$R$22,Oeko!DW384,Oeko!GJ384)</f>
        <v>1</v>
      </c>
      <c r="BK384" s="2026">
        <f>IF(Construction!$F$31=Construction!$R$22,Oeko!DX384,Oeko!GK384)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Construction hybride</v>
      </c>
      <c r="B385" s="2">
        <v>1</v>
      </c>
      <c r="C385" s="2" t="s">
        <v>4329</v>
      </c>
      <c r="D385" s="2004">
        <f>IF(Construction!$F$31=Construction!$R$22,Oeko!BQ385,Oeko!ED385)</f>
        <v>1.0959648400629938</v>
      </c>
      <c r="E385" s="2004">
        <f>IF(Construction!$F$31=Construction!$R$22,Oeko!BR385,Oeko!EE385)</f>
        <v>1.0961510338512805</v>
      </c>
      <c r="F385" s="2004">
        <f>IF(Construction!$F$31=Construction!$R$22,Oeko!BS385,Oeko!EF385)</f>
        <v>1.096369703300315</v>
      </c>
      <c r="G385" s="2004">
        <f>IF(Construction!$F$31=Construction!$R$22,Oeko!BT385,Oeko!EG385)</f>
        <v>1.0965905377933995</v>
      </c>
      <c r="H385" s="2004">
        <f>IF(Construction!$F$31=Construction!$R$22,Oeko!BU385,Oeko!EH385)</f>
        <v>1.0970560222641168</v>
      </c>
      <c r="I385" s="2002">
        <f>IF(Construction!$F$31=Construction!$R$22,Oeko!BV385,Oeko!EI385)</f>
        <v>1.6075139021485076</v>
      </c>
      <c r="J385" s="2002">
        <f>IF(Construction!$F$31=Construction!$R$22,Oeko!BW385,Oeko!EJ385)</f>
        <v>1.6081455693867988</v>
      </c>
      <c r="K385" s="2002">
        <f>IF(Construction!$F$31=Construction!$R$22,Oeko!BX385,Oeko!EK385)</f>
        <v>1.6088874111433964</v>
      </c>
      <c r="L385" s="2002">
        <f>IF(Construction!$F$31=Construction!$R$22,Oeko!BY385,Oeko!EL385)</f>
        <v>1.6096365978678808</v>
      </c>
      <c r="M385" s="2002">
        <f>IF(Construction!$F$31=Construction!$R$22,Oeko!BZ385,Oeko!EM385)</f>
        <v>1.6112157659636084</v>
      </c>
      <c r="N385" s="2004">
        <f>IF(Construction!$F$31=Construction!$R$22,Oeko!CA385,Oeko!EN385)</f>
        <v>1.0413701884280093</v>
      </c>
      <c r="O385" s="2004">
        <f>IF(Construction!$F$31=Construction!$R$22,Oeko!CB385,Oeko!EO385)</f>
        <v>1.0413701884280093</v>
      </c>
      <c r="P385" s="2004">
        <f>IF(Construction!$F$31=Construction!$R$22,Oeko!CC385,Oeko!EP385)</f>
        <v>1.0413701884280093</v>
      </c>
      <c r="Q385" s="2004">
        <f>IF(Construction!$F$31=Construction!$R$22,Oeko!CD385,Oeko!EQ385)</f>
        <v>1.0413701884280093</v>
      </c>
      <c r="R385" s="2004">
        <f>IF(Construction!$F$31=Construction!$R$22,Oeko!CE385,Oeko!ER385)</f>
        <v>1.0413701884280093</v>
      </c>
      <c r="S385" s="2002">
        <f>IF(Construction!$F$31=Construction!$R$22,Oeko!CF385,Oeko!ES385)</f>
        <v>1.3530051730450989</v>
      </c>
      <c r="T385" s="2002">
        <f>IF(Construction!$F$31=Construction!$R$22,Oeko!CG385,Oeko!ET385)</f>
        <v>1.3530051730450989</v>
      </c>
      <c r="U385" s="2002">
        <f>IF(Construction!$F$31=Construction!$R$22,Oeko!CH385,Oeko!EU385)</f>
        <v>1.3530051730450989</v>
      </c>
      <c r="V385" s="2002">
        <f>IF(Construction!$F$31=Construction!$R$22,Oeko!CI385,Oeko!EV385)</f>
        <v>1.3530051730450989</v>
      </c>
      <c r="W385" s="2002">
        <f>IF(Construction!$F$31=Construction!$R$22,Oeko!CJ385,Oeko!EW385)</f>
        <v>1.3530051730450989</v>
      </c>
      <c r="X385" s="2004">
        <f>IF(Construction!$F$31=Construction!$R$22,Oeko!CK385,Oeko!EX385)</f>
        <v>1.0303295570195814</v>
      </c>
      <c r="Y385" s="2004">
        <f>IF(Construction!$F$31=Construction!$R$22,Oeko!CL385,Oeko!EY385)</f>
        <v>1.0303295570195814</v>
      </c>
      <c r="Z385" s="2004">
        <f>IF(Construction!$F$31=Construction!$R$22,Oeko!CM385,Oeko!EZ385)</f>
        <v>1.0303295570195814</v>
      </c>
      <c r="AA385" s="2004">
        <f>IF(Construction!$F$31=Construction!$R$22,Oeko!CN385,Oeko!FA385)</f>
        <v>1.0303295570195814</v>
      </c>
      <c r="AB385" s="2004">
        <f>IF(Construction!$F$31=Construction!$R$22,Oeko!CO385,Oeko!FB385)</f>
        <v>1.0303295570195814</v>
      </c>
      <c r="AC385" s="2002">
        <f>IF(Construction!$F$31=Construction!$R$22,Oeko!CP385,Oeko!FC385)</f>
        <v>1.00192924689315</v>
      </c>
      <c r="AD385" s="2002">
        <f>IF(Construction!$F$31=Construction!$R$22,Oeko!CQ385,Oeko!FD385)</f>
        <v>1.00192924689315</v>
      </c>
      <c r="AE385" s="2002">
        <f>IF(Construction!$F$31=Construction!$R$22,Oeko!CR385,Oeko!FE385)</f>
        <v>1.00192924689315</v>
      </c>
      <c r="AF385" s="2002">
        <f>IF(Construction!$F$31=Construction!$R$22,Oeko!CS385,Oeko!FF385)</f>
        <v>1.00192924689315</v>
      </c>
      <c r="AG385" s="2002">
        <f>IF(Construction!$F$31=Construction!$R$22,Oeko!CT385,Oeko!FG385)</f>
        <v>1.00192924689315</v>
      </c>
      <c r="AH385" s="2004">
        <f>IF(Construction!$F$31=Construction!$R$22,Oeko!CU385,Oeko!FH385)</f>
        <v>1.5069397551899828</v>
      </c>
      <c r="AI385" s="2004">
        <f>IF(Construction!$F$31=Construction!$R$22,Oeko!CV385,Oeko!FI385)</f>
        <v>1.5069397551899828</v>
      </c>
      <c r="AJ385" s="2004">
        <f>IF(Construction!$F$31=Construction!$R$22,Oeko!CW385,Oeko!FJ385)</f>
        <v>1.5069397551899828</v>
      </c>
      <c r="AK385" s="2004">
        <f>IF(Construction!$F$31=Construction!$R$22,Oeko!CX385,Oeko!FK385)</f>
        <v>1.5069397551899828</v>
      </c>
      <c r="AL385" s="2004">
        <f>IF(Construction!$F$31=Construction!$R$22,Oeko!CY385,Oeko!FL385)</f>
        <v>1.5069397551899828</v>
      </c>
      <c r="AM385" s="2002">
        <f>IF(Construction!$F$31=Construction!$R$22,Oeko!CZ385,Oeko!FM385)</f>
        <v>1.2243650757979079</v>
      </c>
      <c r="AN385" s="2002">
        <f>IF(Construction!$F$31=Construction!$R$22,Oeko!DA385,Oeko!FN385)</f>
        <v>1.2245452179362353</v>
      </c>
      <c r="AO385" s="2002">
        <f>IF(Construction!$F$31=Construction!$R$22,Oeko!DB385,Oeko!FO385)</f>
        <v>1.2247567802149686</v>
      </c>
      <c r="AP385" s="2002">
        <f>IF(Construction!$F$31=Construction!$R$22,Oeko!DC385,Oeko!FP385)</f>
        <v>1.224970437169729</v>
      </c>
      <c r="AQ385" s="2002">
        <f>IF(Construction!$F$31=Construction!$R$22,Oeko!DD385,Oeko!FQ385)</f>
        <v>1.2254207925155476</v>
      </c>
      <c r="AR385" s="2004">
        <f>IF(Construction!$F$31=Construction!$R$22,Oeko!DE385,Oeko!FR385)</f>
        <v>13.834538629013245</v>
      </c>
      <c r="AS385" s="2004">
        <f>IF(Construction!$F$31=Construction!$R$22,Oeko!DF385,Oeko!FS385)</f>
        <v>13.834538629013245</v>
      </c>
      <c r="AT385" s="2004">
        <f>IF(Construction!$F$31=Construction!$R$22,Oeko!DG385,Oeko!FT385)</f>
        <v>13.834538629013245</v>
      </c>
      <c r="AU385" s="2004">
        <f>IF(Construction!$F$31=Construction!$R$22,Oeko!DH385,Oeko!FU385)</f>
        <v>13.834538629013245</v>
      </c>
      <c r="AV385" s="2004">
        <f>IF(Construction!$F$31=Construction!$R$22,Oeko!DI385,Oeko!FV385)</f>
        <v>13.834538629013245</v>
      </c>
      <c r="AW385" s="2002">
        <f>IF(Construction!$F$31=Construction!$R$22,Oeko!DJ385,Oeko!FW385)</f>
        <v>13.801914271272478</v>
      </c>
      <c r="AX385" s="2002">
        <f>IF(Construction!$F$31=Construction!$R$22,Oeko!DK385,Oeko!FX385)</f>
        <v>13.801914271272478</v>
      </c>
      <c r="AY385" s="2002">
        <f>IF(Construction!$F$31=Construction!$R$22,Oeko!DL385,Oeko!FY385)</f>
        <v>13.801914271272478</v>
      </c>
      <c r="AZ385" s="2002">
        <f>IF(Construction!$F$31=Construction!$R$22,Oeko!DM385,Oeko!FZ385)</f>
        <v>13.801914271272478</v>
      </c>
      <c r="BA385" s="2002">
        <f>IF(Construction!$F$31=Construction!$R$22,Oeko!DN385,Oeko!GA385)</f>
        <v>13.801914271272478</v>
      </c>
      <c r="BB385" s="2004">
        <f>IF(Construction!$F$31=Construction!$R$22,Oeko!DO385,Oeko!GB385)</f>
        <v>0.98134311960433129</v>
      </c>
      <c r="BC385" s="2004">
        <f>IF(Construction!$F$31=Construction!$R$22,Oeko!DP385,Oeko!GC385)</f>
        <v>0.98134311960433129</v>
      </c>
      <c r="BD385" s="2004">
        <f>IF(Construction!$F$31=Construction!$R$22,Oeko!DQ385,Oeko!GD385)</f>
        <v>0.98134311960433129</v>
      </c>
      <c r="BE385" s="2004">
        <f>IF(Construction!$F$31=Construction!$R$22,Oeko!DR385,Oeko!GE385)</f>
        <v>0.98134311960433129</v>
      </c>
      <c r="BF385" s="2004">
        <f>IF(Construction!$F$31=Construction!$R$22,Oeko!DS385,Oeko!GF385)</f>
        <v>0.98134311960433129</v>
      </c>
      <c r="BG385" s="2002">
        <f>IF(Construction!$F$31=Construction!$R$22,Oeko!DT385,Oeko!GG385)</f>
        <v>0.97795522573083882</v>
      </c>
      <c r="BH385" s="2002">
        <f>IF(Construction!$F$31=Construction!$R$22,Oeko!DU385,Oeko!GH385)</f>
        <v>0.97795522573083882</v>
      </c>
      <c r="BI385" s="2002">
        <f>IF(Construction!$F$31=Construction!$R$22,Oeko!DV385,Oeko!GI385)</f>
        <v>0.97795522573083882</v>
      </c>
      <c r="BJ385" s="2002">
        <f>IF(Construction!$F$31=Construction!$R$22,Oeko!DW385,Oeko!GJ385)</f>
        <v>0.97795522573083882</v>
      </c>
      <c r="BK385" s="2027">
        <f>IF(Construction!$F$31=Construction!$R$22,Oeko!DX385,Oeko!GK385)</f>
        <v>0.97795522573083882</v>
      </c>
      <c r="BN385" s="2025" t="str">
        <f>Uebersetzung!$D634</f>
        <v>Construction hybride</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Construction hybride</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IF(Construction!$F$31=Construction!$R$22,Oeko!BQ386,Oeko!ED386)</f>
        <v>1.0717647530818666</v>
      </c>
      <c r="E386" s="1998">
        <f>IF(Construction!$F$31=Construction!$R$22,Oeko!BR386,Oeko!EE386)</f>
        <v>1.0719598132410242</v>
      </c>
      <c r="F386" s="1998">
        <f>IF(Construction!$F$31=Construction!$R$22,Oeko!BS386,Oeko!EF386)</f>
        <v>1.0721888955209651</v>
      </c>
      <c r="G386" s="1998">
        <f>IF(Construction!$F$31=Construction!$R$22,Oeko!BT386,Oeko!EG386)</f>
        <v>1.0724202459422918</v>
      </c>
      <c r="H386" s="1998">
        <f>IF(Construction!$F$31=Construction!$R$22,Oeko!BU386,Oeko!EH386)</f>
        <v>1.0729078963401859</v>
      </c>
      <c r="I386" s="1979">
        <f>IF(Construction!$F$31=Construction!$R$22,Oeko!BV386,Oeko!EI386)</f>
        <v>1.6084857001597148</v>
      </c>
      <c r="J386" s="1979">
        <f>IF(Construction!$F$31=Construction!$R$22,Oeko!BW386,Oeko!EJ386)</f>
        <v>1.6091990630274915</v>
      </c>
      <c r="K386" s="1979">
        <f>IF(Construction!$F$31=Construction!$R$22,Oeko!BX386,Oeko!EK386)</f>
        <v>1.6100368496512756</v>
      </c>
      <c r="L386" s="1979">
        <f>IF(Construction!$F$31=Construction!$R$22,Oeko!BY386,Oeko!EL386)</f>
        <v>1.6108829311921269</v>
      </c>
      <c r="M386" s="1979">
        <f>IF(Construction!$F$31=Construction!$R$22,Oeko!BZ386,Oeko!EM386)</f>
        <v>1.6126663383615685</v>
      </c>
      <c r="N386" s="1998">
        <f>IF(Construction!$F$31=Construction!$R$22,Oeko!CA386,Oeko!EN386)</f>
        <v>1.0417449450117604</v>
      </c>
      <c r="O386" s="1998">
        <f>IF(Construction!$F$31=Construction!$R$22,Oeko!CB386,Oeko!EO386)</f>
        <v>1.0417449450117604</v>
      </c>
      <c r="P386" s="1998">
        <f>IF(Construction!$F$31=Construction!$R$22,Oeko!CC386,Oeko!EP386)</f>
        <v>1.0417449450117604</v>
      </c>
      <c r="Q386" s="1998">
        <f>IF(Construction!$F$31=Construction!$R$22,Oeko!CD386,Oeko!EQ386)</f>
        <v>1.0417449450117604</v>
      </c>
      <c r="R386" s="1998">
        <f>IF(Construction!$F$31=Construction!$R$22,Oeko!CE386,Oeko!ER386)</f>
        <v>1.0417449450117604</v>
      </c>
      <c r="S386" s="1979">
        <f>IF(Construction!$F$31=Construction!$R$22,Oeko!CF386,Oeko!ES386)</f>
        <v>1.3363014054766407</v>
      </c>
      <c r="T386" s="1979">
        <f>IF(Construction!$F$31=Construction!$R$22,Oeko!CG386,Oeko!ET386)</f>
        <v>1.3363014054766407</v>
      </c>
      <c r="U386" s="1979">
        <f>IF(Construction!$F$31=Construction!$R$22,Oeko!CH386,Oeko!EU386)</f>
        <v>1.3363014054766407</v>
      </c>
      <c r="V386" s="1979">
        <f>IF(Construction!$F$31=Construction!$R$22,Oeko!CI386,Oeko!EV386)</f>
        <v>1.3363014054766407</v>
      </c>
      <c r="W386" s="1979">
        <f>IF(Construction!$F$31=Construction!$R$22,Oeko!CJ386,Oeko!EW386)</f>
        <v>1.3363014054766407</v>
      </c>
      <c r="X386" s="1998">
        <f>IF(Construction!$F$31=Construction!$R$22,Oeko!CK386,Oeko!EX386)</f>
        <v>1.031110947440983</v>
      </c>
      <c r="Y386" s="1998">
        <f>IF(Construction!$F$31=Construction!$R$22,Oeko!CL386,Oeko!EY386)</f>
        <v>1.031110947440983</v>
      </c>
      <c r="Z386" s="1998">
        <f>IF(Construction!$F$31=Construction!$R$22,Oeko!CM386,Oeko!EZ386)</f>
        <v>1.031110947440983</v>
      </c>
      <c r="AA386" s="1998">
        <f>IF(Construction!$F$31=Construction!$R$22,Oeko!CN386,Oeko!FA386)</f>
        <v>1.031110947440983</v>
      </c>
      <c r="AB386" s="1998">
        <f>IF(Construction!$F$31=Construction!$R$22,Oeko!CO386,Oeko!FB386)</f>
        <v>1.031110947440983</v>
      </c>
      <c r="AC386" s="1979">
        <f>IF(Construction!$F$31=Construction!$R$22,Oeko!CP386,Oeko!FC386)</f>
        <v>1.0026712649289768</v>
      </c>
      <c r="AD386" s="1979">
        <f>IF(Construction!$F$31=Construction!$R$22,Oeko!CQ386,Oeko!FD386)</f>
        <v>1.0026712649289768</v>
      </c>
      <c r="AE386" s="1979">
        <f>IF(Construction!$F$31=Construction!$R$22,Oeko!CR386,Oeko!FE386)</f>
        <v>1.0026712649289768</v>
      </c>
      <c r="AF386" s="1979">
        <f>IF(Construction!$F$31=Construction!$R$22,Oeko!CS386,Oeko!FF386)</f>
        <v>1.0026712649289768</v>
      </c>
      <c r="AG386" s="1979">
        <f>IF(Construction!$F$31=Construction!$R$22,Oeko!CT386,Oeko!FG386)</f>
        <v>1.0026712649289768</v>
      </c>
      <c r="AH386" s="1998">
        <f>IF(Construction!$F$31=Construction!$R$22,Oeko!CU386,Oeko!FH386)</f>
        <v>1.5083277062279792</v>
      </c>
      <c r="AI386" s="1998">
        <f>IF(Construction!$F$31=Construction!$R$22,Oeko!CV386,Oeko!FI386)</f>
        <v>1.5083277062279792</v>
      </c>
      <c r="AJ386" s="1998">
        <f>IF(Construction!$F$31=Construction!$R$22,Oeko!CW386,Oeko!FJ386)</f>
        <v>1.5083277062279792</v>
      </c>
      <c r="AK386" s="1998">
        <f>IF(Construction!$F$31=Construction!$R$22,Oeko!CX386,Oeko!FK386)</f>
        <v>1.5083277062279792</v>
      </c>
      <c r="AL386" s="1998">
        <f>IF(Construction!$F$31=Construction!$R$22,Oeko!CY386,Oeko!FL386)</f>
        <v>1.5083277062279792</v>
      </c>
      <c r="AM386" s="1979">
        <f>IF(Construction!$F$31=Construction!$R$22,Oeko!CZ386,Oeko!FM386)</f>
        <v>1.2021599964042911</v>
      </c>
      <c r="AN386" s="1979">
        <f>IF(Construction!$F$31=Construction!$R$22,Oeko!DA386,Oeko!FN386)</f>
        <v>1.2023415796797252</v>
      </c>
      <c r="AO386" s="1979">
        <f>IF(Construction!$F$31=Construction!$R$22,Oeko!DB386,Oeko!FO386)</f>
        <v>1.2025548344566883</v>
      </c>
      <c r="AP386" s="1979">
        <f>IF(Construction!$F$31=Construction!$R$22,Oeko!DC386,Oeko!FP386)</f>
        <v>1.2027702006670868</v>
      </c>
      <c r="AQ386" s="1979">
        <f>IF(Construction!$F$31=Construction!$R$22,Oeko!DD386,Oeko!FQ386)</f>
        <v>1.2032241588556722</v>
      </c>
      <c r="AR386" s="1998">
        <f>IF(Construction!$F$31=Construction!$R$22,Oeko!DE386,Oeko!FR386)</f>
        <v>13.450245889318433</v>
      </c>
      <c r="AS386" s="1998">
        <f>IF(Construction!$F$31=Construction!$R$22,Oeko!DF386,Oeko!FS386)</f>
        <v>13.450245889318433</v>
      </c>
      <c r="AT386" s="1998">
        <f>IF(Construction!$F$31=Construction!$R$22,Oeko!DG386,Oeko!FT386)</f>
        <v>13.450245889318433</v>
      </c>
      <c r="AU386" s="1998">
        <f>IF(Construction!$F$31=Construction!$R$22,Oeko!DH386,Oeko!FU386)</f>
        <v>13.450245889318433</v>
      </c>
      <c r="AV386" s="1998">
        <f>IF(Construction!$F$31=Construction!$R$22,Oeko!DI386,Oeko!FV386)</f>
        <v>13.450245889318433</v>
      </c>
      <c r="AW386" s="1979">
        <f>IF(Construction!$F$31=Construction!$R$22,Oeko!DJ386,Oeko!FW386)</f>
        <v>12.881786653187646</v>
      </c>
      <c r="AX386" s="1979">
        <f>IF(Construction!$F$31=Construction!$R$22,Oeko!DK386,Oeko!FX386)</f>
        <v>12.881786653187646</v>
      </c>
      <c r="AY386" s="1979">
        <f>IF(Construction!$F$31=Construction!$R$22,Oeko!DL386,Oeko!FY386)</f>
        <v>12.881786653187646</v>
      </c>
      <c r="AZ386" s="1979">
        <f>IF(Construction!$F$31=Construction!$R$22,Oeko!DM386,Oeko!FZ386)</f>
        <v>12.881786653187646</v>
      </c>
      <c r="BA386" s="1979">
        <f>IF(Construction!$F$31=Construction!$R$22,Oeko!DN386,Oeko!GA386)</f>
        <v>12.881786653187646</v>
      </c>
      <c r="BB386" s="1998">
        <f>IF(Construction!$F$31=Construction!$R$22,Oeko!DO386,Oeko!GB386)</f>
        <v>0.98134311960433129</v>
      </c>
      <c r="BC386" s="1998">
        <f>IF(Construction!$F$31=Construction!$R$22,Oeko!DP386,Oeko!GC386)</f>
        <v>0.98134311960433129</v>
      </c>
      <c r="BD386" s="1998">
        <f>IF(Construction!$F$31=Construction!$R$22,Oeko!DQ386,Oeko!GD386)</f>
        <v>0.98134311960433129</v>
      </c>
      <c r="BE386" s="1998">
        <f>IF(Construction!$F$31=Construction!$R$22,Oeko!DR386,Oeko!GE386)</f>
        <v>0.98134311960433129</v>
      </c>
      <c r="BF386" s="1998">
        <f>IF(Construction!$F$31=Construction!$R$22,Oeko!DS386,Oeko!GF386)</f>
        <v>0.98134311960433129</v>
      </c>
      <c r="BG386" s="1979">
        <f>IF(Construction!$F$31=Construction!$R$22,Oeko!DT386,Oeko!GG386)</f>
        <v>0.97810576425189544</v>
      </c>
      <c r="BH386" s="1979">
        <f>IF(Construction!$F$31=Construction!$R$22,Oeko!DU386,Oeko!GH386)</f>
        <v>0.97810576425189544</v>
      </c>
      <c r="BI386" s="1979">
        <f>IF(Construction!$F$31=Construction!$R$22,Oeko!DV386,Oeko!GI386)</f>
        <v>0.97810576425189544</v>
      </c>
      <c r="BJ386" s="1979">
        <f>IF(Construction!$F$31=Construction!$R$22,Oeko!DW386,Oeko!GJ386)</f>
        <v>0.97810576425189544</v>
      </c>
      <c r="BK386" s="2021">
        <f>IF(Construction!$F$31=Construction!$R$22,Oeko!DX386,Oeko!GK386)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IF(Construction!$F$31=Construction!$R$22,Oeko!BQ387,Oeko!ED387)</f>
        <v>1.0631628745315946</v>
      </c>
      <c r="E387" s="1998">
        <f>IF(Construction!$F$31=Construction!$R$22,Oeko!BR387,Oeko!EE387)</f>
        <v>1.0633778168557353</v>
      </c>
      <c r="F387" s="1998">
        <f>IF(Construction!$F$31=Construction!$R$22,Oeko!BS387,Oeko!EF387)</f>
        <v>1.0636302491201328</v>
      </c>
      <c r="G387" s="1998">
        <f>IF(Construction!$F$31=Construction!$R$22,Oeko!BT387,Oeko!EG387)</f>
        <v>1.0638851807138812</v>
      </c>
      <c r="H387" s="1998">
        <f>IF(Construction!$F$31=Construction!$R$22,Oeko!BU387,Oeko!EH387)</f>
        <v>1.0644225365242328</v>
      </c>
      <c r="I387" s="1979">
        <f>IF(Construction!$F$31=Construction!$R$22,Oeko!BV387,Oeko!EI387)</f>
        <v>1.5079553438997326</v>
      </c>
      <c r="J387" s="1979">
        <f>IF(Construction!$F$31=Construction!$R$22,Oeko!BW387,Oeko!EJ387)</f>
        <v>1.5086241215882732</v>
      </c>
      <c r="K387" s="1979">
        <f>IF(Construction!$F$31=Construction!$R$22,Oeko!BX387,Oeko!EK387)</f>
        <v>1.509409546548071</v>
      </c>
      <c r="L387" s="1979">
        <f>IF(Construction!$F$31=Construction!$R$22,Oeko!BY387,Oeko!EL387)</f>
        <v>1.5102027479926192</v>
      </c>
      <c r="M387" s="1979">
        <f>IF(Construction!$F$31=Construction!$R$22,Oeko!BZ387,Oeko!EM387)</f>
        <v>1.5118746922139705</v>
      </c>
      <c r="N387" s="1998">
        <f>IF(Construction!$F$31=Construction!$R$22,Oeko!CA387,Oeko!EN387)</f>
        <v>1.0316455032912826</v>
      </c>
      <c r="O387" s="1998">
        <f>IF(Construction!$F$31=Construction!$R$22,Oeko!CB387,Oeko!EO387)</f>
        <v>1.0316455032912826</v>
      </c>
      <c r="P387" s="1998">
        <f>IF(Construction!$F$31=Construction!$R$22,Oeko!CC387,Oeko!EP387)</f>
        <v>1.0316455032912826</v>
      </c>
      <c r="Q387" s="1998">
        <f>IF(Construction!$F$31=Construction!$R$22,Oeko!CD387,Oeko!EQ387)</f>
        <v>1.0316455032912826</v>
      </c>
      <c r="R387" s="1998">
        <f>IF(Construction!$F$31=Construction!$R$22,Oeko!CE387,Oeko!ER387)</f>
        <v>1.0316455032912826</v>
      </c>
      <c r="S387" s="1979">
        <f>IF(Construction!$F$31=Construction!$R$22,Oeko!CF387,Oeko!ES387)</f>
        <v>1.3166738514515262</v>
      </c>
      <c r="T387" s="1979">
        <f>IF(Construction!$F$31=Construction!$R$22,Oeko!CG387,Oeko!ET387)</f>
        <v>1.3166738514515262</v>
      </c>
      <c r="U387" s="1979">
        <f>IF(Construction!$F$31=Construction!$R$22,Oeko!CH387,Oeko!EU387)</f>
        <v>1.3166738514515262</v>
      </c>
      <c r="V387" s="1979">
        <f>IF(Construction!$F$31=Construction!$R$22,Oeko!CI387,Oeko!EV387)</f>
        <v>1.3166738514515262</v>
      </c>
      <c r="W387" s="1979">
        <f>IF(Construction!$F$31=Construction!$R$22,Oeko!CJ387,Oeko!EW387)</f>
        <v>1.3166738514515262</v>
      </c>
      <c r="X387" s="1998">
        <f>IF(Construction!$F$31=Construction!$R$22,Oeko!CK387,Oeko!EX387)</f>
        <v>1.0024689766787334</v>
      </c>
      <c r="Y387" s="1998">
        <f>IF(Construction!$F$31=Construction!$R$22,Oeko!CL387,Oeko!EY387)</f>
        <v>1.0024689766787334</v>
      </c>
      <c r="Z387" s="1998">
        <f>IF(Construction!$F$31=Construction!$R$22,Oeko!CM387,Oeko!EZ387)</f>
        <v>1.0024689766787334</v>
      </c>
      <c r="AA387" s="1998">
        <f>IF(Construction!$F$31=Construction!$R$22,Oeko!CN387,Oeko!FA387)</f>
        <v>1.0024689766787334</v>
      </c>
      <c r="AB387" s="1998">
        <f>IF(Construction!$F$31=Construction!$R$22,Oeko!CO387,Oeko!FB387)</f>
        <v>1.0024689766787334</v>
      </c>
      <c r="AC387" s="1979">
        <f>IF(Construction!$F$31=Construction!$R$22,Oeko!CP387,Oeko!FC387)</f>
        <v>1.0031482765234367</v>
      </c>
      <c r="AD387" s="1979">
        <f>IF(Construction!$F$31=Construction!$R$22,Oeko!CQ387,Oeko!FD387)</f>
        <v>1.0031482765234367</v>
      </c>
      <c r="AE387" s="1979">
        <f>IF(Construction!$F$31=Construction!$R$22,Oeko!CR387,Oeko!FE387)</f>
        <v>1.0031482765234367</v>
      </c>
      <c r="AF387" s="1979">
        <f>IF(Construction!$F$31=Construction!$R$22,Oeko!CS387,Oeko!FF387)</f>
        <v>1.0031482765234367</v>
      </c>
      <c r="AG387" s="1979">
        <f>IF(Construction!$F$31=Construction!$R$22,Oeko!CT387,Oeko!FG387)</f>
        <v>1.0031482765234367</v>
      </c>
      <c r="AH387" s="1998">
        <f>IF(Construction!$F$31=Construction!$R$22,Oeko!CU387,Oeko!FH387)</f>
        <v>1.5098698740479755</v>
      </c>
      <c r="AI387" s="1998">
        <f>IF(Construction!$F$31=Construction!$R$22,Oeko!CV387,Oeko!FI387)</f>
        <v>1.5098698740479755</v>
      </c>
      <c r="AJ387" s="1998">
        <f>IF(Construction!$F$31=Construction!$R$22,Oeko!CW387,Oeko!FJ387)</f>
        <v>1.5098698740479755</v>
      </c>
      <c r="AK387" s="1998">
        <f>IF(Construction!$F$31=Construction!$R$22,Oeko!CX387,Oeko!FK387)</f>
        <v>1.5098698740479755</v>
      </c>
      <c r="AL387" s="1998">
        <f>IF(Construction!$F$31=Construction!$R$22,Oeko!CY387,Oeko!FL387)</f>
        <v>1.5098698740479755</v>
      </c>
      <c r="AM387" s="1979">
        <f>IF(Construction!$F$31=Construction!$R$22,Oeko!CZ387,Oeko!FM387)</f>
        <v>1.1447857110752597</v>
      </c>
      <c r="AN387" s="1979">
        <f>IF(Construction!$F$31=Construction!$R$22,Oeko!DA387,Oeko!FN387)</f>
        <v>1.1449478389997545</v>
      </c>
      <c r="AO387" s="1979">
        <f>IF(Construction!$F$31=Construction!$R$22,Oeko!DB387,Oeko!FO387)</f>
        <v>1.1451382450506145</v>
      </c>
      <c r="AP387" s="1979">
        <f>IF(Construction!$F$31=Construction!$R$22,Oeko!DC387,Oeko!FP387)</f>
        <v>1.1453305363098989</v>
      </c>
      <c r="AQ387" s="1979">
        <f>IF(Construction!$F$31=Construction!$R$22,Oeko!DD387,Oeko!FQ387)</f>
        <v>1.1457358561211357</v>
      </c>
      <c r="AR387" s="1998">
        <f>IF(Construction!$F$31=Construction!$R$22,Oeko!DE387,Oeko!FR387)</f>
        <v>12.920345679524557</v>
      </c>
      <c r="AS387" s="1998">
        <f>IF(Construction!$F$31=Construction!$R$22,Oeko!DF387,Oeko!FS387)</f>
        <v>12.920345679524557</v>
      </c>
      <c r="AT387" s="1998">
        <f>IF(Construction!$F$31=Construction!$R$22,Oeko!DG387,Oeko!FT387)</f>
        <v>12.920345679524557</v>
      </c>
      <c r="AU387" s="1998">
        <f>IF(Construction!$F$31=Construction!$R$22,Oeko!DH387,Oeko!FU387)</f>
        <v>12.920345679524557</v>
      </c>
      <c r="AV387" s="1998">
        <f>IF(Construction!$F$31=Construction!$R$22,Oeko!DI387,Oeko!FV387)</f>
        <v>12.920345679524557</v>
      </c>
      <c r="AW387" s="1979">
        <f>IF(Construction!$F$31=Construction!$R$22,Oeko!DJ387,Oeko!FW387)</f>
        <v>12.890111449258765</v>
      </c>
      <c r="AX387" s="1979">
        <f>IF(Construction!$F$31=Construction!$R$22,Oeko!DK387,Oeko!FX387)</f>
        <v>12.890111449258765</v>
      </c>
      <c r="AY387" s="1979">
        <f>IF(Construction!$F$31=Construction!$R$22,Oeko!DL387,Oeko!FY387)</f>
        <v>12.890111449258765</v>
      </c>
      <c r="AZ387" s="1979">
        <f>IF(Construction!$F$31=Construction!$R$22,Oeko!DM387,Oeko!FZ387)</f>
        <v>12.890111449258765</v>
      </c>
      <c r="BA387" s="1979">
        <f>IF(Construction!$F$31=Construction!$R$22,Oeko!DN387,Oeko!GA387)</f>
        <v>12.890111449258765</v>
      </c>
      <c r="BB387" s="1998">
        <f>IF(Construction!$F$31=Construction!$R$22,Oeko!DO387,Oeko!GB387)</f>
        <v>0.98134311960433129</v>
      </c>
      <c r="BC387" s="1998">
        <f>IF(Construction!$F$31=Construction!$R$22,Oeko!DP387,Oeko!GC387)</f>
        <v>0.98134311960433129</v>
      </c>
      <c r="BD387" s="1998">
        <f>IF(Construction!$F$31=Construction!$R$22,Oeko!DQ387,Oeko!GD387)</f>
        <v>0.98134311960433129</v>
      </c>
      <c r="BE387" s="1998">
        <f>IF(Construction!$F$31=Construction!$R$22,Oeko!DR387,Oeko!GE387)</f>
        <v>0.98134311960433129</v>
      </c>
      <c r="BF387" s="1998">
        <f>IF(Construction!$F$31=Construction!$R$22,Oeko!DS387,Oeko!GF387)</f>
        <v>0.98134311960433129</v>
      </c>
      <c r="BG387" s="1979">
        <f>IF(Construction!$F$31=Construction!$R$22,Oeko!DT387,Oeko!GG387)</f>
        <v>0.97810576425189544</v>
      </c>
      <c r="BH387" s="1979">
        <f>IF(Construction!$F$31=Construction!$R$22,Oeko!DU387,Oeko!GH387)</f>
        <v>0.97810576425189544</v>
      </c>
      <c r="BI387" s="1979">
        <f>IF(Construction!$F$31=Construction!$R$22,Oeko!DV387,Oeko!GI387)</f>
        <v>0.97810576425189544</v>
      </c>
      <c r="BJ387" s="1979">
        <f>IF(Construction!$F$31=Construction!$R$22,Oeko!DW387,Oeko!GJ387)</f>
        <v>0.97810576425189544</v>
      </c>
      <c r="BK387" s="2021">
        <f>IF(Construction!$F$31=Construction!$R$22,Oeko!DX387,Oeko!GK387)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IF(Construction!$F$31=Construction!$R$22,Oeko!BQ388,Oeko!ED388)</f>
        <v>1.0637509417344673</v>
      </c>
      <c r="E388" s="1998">
        <f>IF(Construction!$F$31=Construction!$R$22,Oeko!BR388,Oeko!EE388)</f>
        <v>1.0640153207931602</v>
      </c>
      <c r="F388" s="1998">
        <f>IF(Construction!$F$31=Construction!$R$22,Oeko!BS388,Oeko!EF388)</f>
        <v>1.0643258124783697</v>
      </c>
      <c r="G388" s="1998">
        <f>IF(Construction!$F$31=Construction!$R$22,Oeko!BT388,Oeko!EG388)</f>
        <v>1.0646393783386798</v>
      </c>
      <c r="H388" s="1998">
        <f>IF(Construction!$F$31=Construction!$R$22,Oeko!BU388,Oeko!EH388)</f>
        <v>1.0653003259854126</v>
      </c>
      <c r="I388" s="1979">
        <f>IF(Construction!$F$31=Construction!$R$22,Oeko!BV388,Oeko!EI388)</f>
        <v>1.5086785569815266</v>
      </c>
      <c r="J388" s="1979">
        <f>IF(Construction!$F$31=Construction!$R$22,Oeko!BW388,Oeko!EJ388)</f>
        <v>1.509408132641753</v>
      </c>
      <c r="K388" s="1979">
        <f>IF(Construction!$F$31=Construction!$R$22,Oeko!BX388,Oeko!EK388)</f>
        <v>1.5102649598706228</v>
      </c>
      <c r="L388" s="1979">
        <f>IF(Construction!$F$31=Construction!$R$22,Oeko!BY388,Oeko!EL388)</f>
        <v>1.5111302705374028</v>
      </c>
      <c r="M388" s="1979">
        <f>IF(Construction!$F$31=Construction!$R$22,Oeko!BZ388,Oeko!EM388)</f>
        <v>1.5129542096879678</v>
      </c>
      <c r="N388" s="1998">
        <f>IF(Construction!$F$31=Construction!$R$22,Oeko!CA388,Oeko!EN388)</f>
        <v>1.0194849555183105</v>
      </c>
      <c r="O388" s="1998">
        <f>IF(Construction!$F$31=Construction!$R$22,Oeko!CB388,Oeko!EO388)</f>
        <v>1.0194849555183105</v>
      </c>
      <c r="P388" s="1998">
        <f>IF(Construction!$F$31=Construction!$R$22,Oeko!CC388,Oeko!EP388)</f>
        <v>1.0194849555183105</v>
      </c>
      <c r="Q388" s="1998">
        <f>IF(Construction!$F$31=Construction!$R$22,Oeko!CD388,Oeko!EQ388)</f>
        <v>1.0194849555183105</v>
      </c>
      <c r="R388" s="1998">
        <f>IF(Construction!$F$31=Construction!$R$22,Oeko!CE388,Oeko!ER388)</f>
        <v>1.0194849555183105</v>
      </c>
      <c r="S388" s="1979">
        <f>IF(Construction!$F$31=Construction!$R$22,Oeko!CF388,Oeko!ES388)</f>
        <v>1.2539750966205012</v>
      </c>
      <c r="T388" s="1979">
        <f>IF(Construction!$F$31=Construction!$R$22,Oeko!CG388,Oeko!ET388)</f>
        <v>1.2539750966205012</v>
      </c>
      <c r="U388" s="1979">
        <f>IF(Construction!$F$31=Construction!$R$22,Oeko!CH388,Oeko!EU388)</f>
        <v>1.2539750966205012</v>
      </c>
      <c r="V388" s="1979">
        <f>IF(Construction!$F$31=Construction!$R$22,Oeko!CI388,Oeko!EV388)</f>
        <v>1.2539750966205012</v>
      </c>
      <c r="W388" s="1979">
        <f>IF(Construction!$F$31=Construction!$R$22,Oeko!CJ388,Oeko!EW388)</f>
        <v>1.2539750966205012</v>
      </c>
      <c r="X388" s="1998">
        <f>IF(Construction!$F$31=Construction!$R$22,Oeko!CK388,Oeko!EX388)</f>
        <v>1.0032286618106514</v>
      </c>
      <c r="Y388" s="1998">
        <f>IF(Construction!$F$31=Construction!$R$22,Oeko!CL388,Oeko!EY388)</f>
        <v>1.0032286618106514</v>
      </c>
      <c r="Z388" s="1998">
        <f>IF(Construction!$F$31=Construction!$R$22,Oeko!CM388,Oeko!EZ388)</f>
        <v>1.0032286618106514</v>
      </c>
      <c r="AA388" s="1998">
        <f>IF(Construction!$F$31=Construction!$R$22,Oeko!CN388,Oeko!FA388)</f>
        <v>1.0032286618106514</v>
      </c>
      <c r="AB388" s="1998">
        <f>IF(Construction!$F$31=Construction!$R$22,Oeko!CO388,Oeko!FB388)</f>
        <v>1.0032286618106514</v>
      </c>
      <c r="AC388" s="1979">
        <f>IF(Construction!$F$31=Construction!$R$22,Oeko!CP388,Oeko!FC388)</f>
        <v>1.0033390811612208</v>
      </c>
      <c r="AD388" s="1979">
        <f>IF(Construction!$F$31=Construction!$R$22,Oeko!CQ388,Oeko!FD388)</f>
        <v>1.0033390811612208</v>
      </c>
      <c r="AE388" s="1979">
        <f>IF(Construction!$F$31=Construction!$R$22,Oeko!CR388,Oeko!FE388)</f>
        <v>1.0033390811612208</v>
      </c>
      <c r="AF388" s="1979">
        <f>IF(Construction!$F$31=Construction!$R$22,Oeko!CS388,Oeko!FF388)</f>
        <v>1.0033390811612208</v>
      </c>
      <c r="AG388" s="1979">
        <f>IF(Construction!$F$31=Construction!$R$22,Oeko!CT388,Oeko!FG388)</f>
        <v>1.0033390811612208</v>
      </c>
      <c r="AH388" s="1998">
        <f>IF(Construction!$F$31=Construction!$R$22,Oeko!CU388,Oeko!FH388)</f>
        <v>1.3421065547093116</v>
      </c>
      <c r="AI388" s="1998">
        <f>IF(Construction!$F$31=Construction!$R$22,Oeko!CV388,Oeko!FI388)</f>
        <v>1.3421065547093116</v>
      </c>
      <c r="AJ388" s="1998">
        <f>IF(Construction!$F$31=Construction!$R$22,Oeko!CW388,Oeko!FJ388)</f>
        <v>1.3421065547093116</v>
      </c>
      <c r="AK388" s="1998">
        <f>IF(Construction!$F$31=Construction!$R$22,Oeko!CX388,Oeko!FK388)</f>
        <v>1.3421065547093116</v>
      </c>
      <c r="AL388" s="1998">
        <f>IF(Construction!$F$31=Construction!$R$22,Oeko!CY388,Oeko!FL388)</f>
        <v>1.3421065547093116</v>
      </c>
      <c r="AM388" s="1979">
        <f>IF(Construction!$F$31=Construction!$R$22,Oeko!CZ388,Oeko!FM388)</f>
        <v>1.1451530574025202</v>
      </c>
      <c r="AN388" s="1979">
        <f>IF(Construction!$F$31=Construction!$R$22,Oeko!DA388,Oeko!FN388)</f>
        <v>1.1453460668364426</v>
      </c>
      <c r="AO388" s="1979">
        <f>IF(Construction!$F$31=Construction!$R$22,Oeko!DB388,Oeko!FO388)</f>
        <v>1.1455727407065139</v>
      </c>
      <c r="AP388" s="1979">
        <f>IF(Construction!$F$31=Construction!$R$22,Oeko!DC388,Oeko!FP388)</f>
        <v>1.1458016588723285</v>
      </c>
      <c r="AQ388" s="1979">
        <f>IF(Construction!$F$31=Construction!$R$22,Oeko!DD388,Oeko!FQ388)</f>
        <v>1.1462841824571344</v>
      </c>
      <c r="AR388" s="1998">
        <f>IF(Construction!$F$31=Construction!$R$22,Oeko!DE388,Oeko!FR388)</f>
        <v>12.112824074554274</v>
      </c>
      <c r="AS388" s="1998">
        <f>IF(Construction!$F$31=Construction!$R$22,Oeko!DF388,Oeko!FS388)</f>
        <v>12.112824074554274</v>
      </c>
      <c r="AT388" s="1998">
        <f>IF(Construction!$F$31=Construction!$R$22,Oeko!DG388,Oeko!FT388)</f>
        <v>12.112824074554274</v>
      </c>
      <c r="AU388" s="1998">
        <f>IF(Construction!$F$31=Construction!$R$22,Oeko!DH388,Oeko!FU388)</f>
        <v>12.112824074554274</v>
      </c>
      <c r="AV388" s="1998">
        <f>IF(Construction!$F$31=Construction!$R$22,Oeko!DI388,Oeko!FV388)</f>
        <v>12.112824074554274</v>
      </c>
      <c r="AW388" s="1979">
        <f>IF(Construction!$F$31=Construction!$R$22,Oeko!DJ388,Oeko!FW388)</f>
        <v>12.089496659883668</v>
      </c>
      <c r="AX388" s="1979">
        <f>IF(Construction!$F$31=Construction!$R$22,Oeko!DK388,Oeko!FX388)</f>
        <v>12.089496659883668</v>
      </c>
      <c r="AY388" s="1979">
        <f>IF(Construction!$F$31=Construction!$R$22,Oeko!DL388,Oeko!FY388)</f>
        <v>12.089496659883668</v>
      </c>
      <c r="AZ388" s="1979">
        <f>IF(Construction!$F$31=Construction!$R$22,Oeko!DM388,Oeko!FZ388)</f>
        <v>12.089496659883668</v>
      </c>
      <c r="BA388" s="1979">
        <f>IF(Construction!$F$31=Construction!$R$22,Oeko!DN388,Oeko!GA388)</f>
        <v>12.089496659883668</v>
      </c>
      <c r="BB388" s="1998">
        <f>IF(Construction!$F$31=Construction!$R$22,Oeko!DO388,Oeko!GB388)</f>
        <v>0.98169567440259997</v>
      </c>
      <c r="BC388" s="1998">
        <f>IF(Construction!$F$31=Construction!$R$22,Oeko!DP388,Oeko!GC388)</f>
        <v>0.98169567440259997</v>
      </c>
      <c r="BD388" s="1998">
        <f>IF(Construction!$F$31=Construction!$R$22,Oeko!DQ388,Oeko!GD388)</f>
        <v>0.98169567440259997</v>
      </c>
      <c r="BE388" s="1998">
        <f>IF(Construction!$F$31=Construction!$R$22,Oeko!DR388,Oeko!GE388)</f>
        <v>0.98169567440259997</v>
      </c>
      <c r="BF388" s="1998">
        <f>IF(Construction!$F$31=Construction!$R$22,Oeko!DS388,Oeko!GF388)</f>
        <v>0.98169567440259997</v>
      </c>
      <c r="BG388" s="1979">
        <f>IF(Construction!$F$31=Construction!$R$22,Oeko!DT388,Oeko!GG388)</f>
        <v>0.97957351483219635</v>
      </c>
      <c r="BH388" s="1979">
        <f>IF(Construction!$F$31=Construction!$R$22,Oeko!DU388,Oeko!GH388)</f>
        <v>0.97957351483219635</v>
      </c>
      <c r="BI388" s="1979">
        <f>IF(Construction!$F$31=Construction!$R$22,Oeko!DV388,Oeko!GI388)</f>
        <v>0.97957351483219635</v>
      </c>
      <c r="BJ388" s="1979">
        <f>IF(Construction!$F$31=Construction!$R$22,Oeko!DW388,Oeko!GJ388)</f>
        <v>0.97957351483219635</v>
      </c>
      <c r="BK388" s="2021">
        <f>IF(Construction!$F$31=Construction!$R$22,Oeko!DX388,Oeko!GK388)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IF(Construction!$F$31=Construction!$R$22,Oeko!BQ389,Oeko!ED389)</f>
        <v>1.0643901452158508</v>
      </c>
      <c r="E389" s="1998">
        <f>IF(Construction!$F$31=Construction!$R$22,Oeko!BR389,Oeko!EE389)</f>
        <v>1.064708259855579</v>
      </c>
      <c r="F389" s="1998">
        <f>IF(Construction!$F$31=Construction!$R$22,Oeko!BS389,Oeko!EF389)</f>
        <v>1.0650818596068876</v>
      </c>
      <c r="G389" s="1998">
        <f>IF(Construction!$F$31=Construction!$R$22,Oeko!BT389,Oeko!EG389)</f>
        <v>1.065459158365635</v>
      </c>
      <c r="H389" s="1998">
        <f>IF(Construction!$F$31=Construction!$R$22,Oeko!BU389,Oeko!EH389)</f>
        <v>1.0662544449649556</v>
      </c>
      <c r="I389" s="1979">
        <f>IF(Construction!$F$31=Construction!$R$22,Oeko!BV389,Oeko!EI389)</f>
        <v>1.5091606990360558</v>
      </c>
      <c r="J389" s="1979">
        <f>IF(Construction!$F$31=Construction!$R$22,Oeko!BW389,Oeko!EJ389)</f>
        <v>1.5099308066774055</v>
      </c>
      <c r="K389" s="1979">
        <f>IF(Construction!$F$31=Construction!$R$22,Oeko!BX389,Oeko!EK389)</f>
        <v>1.5108352354189907</v>
      </c>
      <c r="L389" s="1979">
        <f>IF(Construction!$F$31=Construction!$R$22,Oeko!BY389,Oeko!EL389)</f>
        <v>1.5117486189005915</v>
      </c>
      <c r="M389" s="1979">
        <f>IF(Construction!$F$31=Construction!$R$22,Oeko!BZ389,Oeko!EM389)</f>
        <v>1.5136738880039657</v>
      </c>
      <c r="N389" s="1998">
        <f>IF(Construction!$F$31=Construction!$R$22,Oeko!CA389,Oeko!EN389)</f>
        <v>1.0202701597890269</v>
      </c>
      <c r="O389" s="1998">
        <f>IF(Construction!$F$31=Construction!$R$22,Oeko!CB389,Oeko!EO389)</f>
        <v>1.0202701597890269</v>
      </c>
      <c r="P389" s="1998">
        <f>IF(Construction!$F$31=Construction!$R$22,Oeko!CC389,Oeko!EP389)</f>
        <v>1.0202701597890269</v>
      </c>
      <c r="Q389" s="1998">
        <f>IF(Construction!$F$31=Construction!$R$22,Oeko!CD389,Oeko!EQ389)</f>
        <v>1.0202701597890269</v>
      </c>
      <c r="R389" s="1998">
        <f>IF(Construction!$F$31=Construction!$R$22,Oeko!CE389,Oeko!ER389)</f>
        <v>1.0202701597890269</v>
      </c>
      <c r="S389" s="1979">
        <f>IF(Construction!$F$31=Construction!$R$22,Oeko!CF389,Oeko!ES389)</f>
        <v>1.2546376127239178</v>
      </c>
      <c r="T389" s="1979">
        <f>IF(Construction!$F$31=Construction!$R$22,Oeko!CG389,Oeko!ET389)</f>
        <v>1.2546376127239178</v>
      </c>
      <c r="U389" s="1979">
        <f>IF(Construction!$F$31=Construction!$R$22,Oeko!CH389,Oeko!EU389)</f>
        <v>1.2546376127239178</v>
      </c>
      <c r="V389" s="1979">
        <f>IF(Construction!$F$31=Construction!$R$22,Oeko!CI389,Oeko!EV389)</f>
        <v>1.2546376127239178</v>
      </c>
      <c r="W389" s="1979">
        <f>IF(Construction!$F$31=Construction!$R$22,Oeko!CJ389,Oeko!EW389)</f>
        <v>1.2546376127239178</v>
      </c>
      <c r="X389" s="1998">
        <f>IF(Construction!$F$31=Construction!$R$22,Oeko!CK389,Oeko!EX389)</f>
        <v>1.0039069521070068</v>
      </c>
      <c r="Y389" s="1998">
        <f>IF(Construction!$F$31=Construction!$R$22,Oeko!CL389,Oeko!EY389)</f>
        <v>1.0039069521070068</v>
      </c>
      <c r="Z389" s="1998">
        <f>IF(Construction!$F$31=Construction!$R$22,Oeko!CM389,Oeko!EZ389)</f>
        <v>1.0039069521070068</v>
      </c>
      <c r="AA389" s="1998">
        <f>IF(Construction!$F$31=Construction!$R$22,Oeko!CN389,Oeko!FA389)</f>
        <v>1.0039069521070068</v>
      </c>
      <c r="AB389" s="1998">
        <f>IF(Construction!$F$31=Construction!$R$22,Oeko!CO389,Oeko!FB389)</f>
        <v>1.0039069521070068</v>
      </c>
      <c r="AC389" s="1979">
        <f>IF(Construction!$F$31=Construction!$R$22,Oeko!CP389,Oeko!FC389)</f>
        <v>1.0034681277761472</v>
      </c>
      <c r="AD389" s="1979">
        <f>IF(Construction!$F$31=Construction!$R$22,Oeko!CQ389,Oeko!FD389)</f>
        <v>1.0034681277761472</v>
      </c>
      <c r="AE389" s="1979">
        <f>IF(Construction!$F$31=Construction!$R$22,Oeko!CR389,Oeko!FE389)</f>
        <v>1.0034681277761472</v>
      </c>
      <c r="AF389" s="1979">
        <f>IF(Construction!$F$31=Construction!$R$22,Oeko!CS389,Oeko!FF389)</f>
        <v>1.0034681277761472</v>
      </c>
      <c r="AG389" s="1979">
        <f>IF(Construction!$F$31=Construction!$R$22,Oeko!CT389,Oeko!FG389)</f>
        <v>1.0034681277761472</v>
      </c>
      <c r="AH389" s="1998">
        <f>IF(Construction!$F$31=Construction!$R$22,Oeko!CU389,Oeko!FH389)</f>
        <v>1.3429290442133095</v>
      </c>
      <c r="AI389" s="1998">
        <f>IF(Construction!$F$31=Construction!$R$22,Oeko!CV389,Oeko!FI389)</f>
        <v>1.3429290442133095</v>
      </c>
      <c r="AJ389" s="1998">
        <f>IF(Construction!$F$31=Construction!$R$22,Oeko!CW389,Oeko!FJ389)</f>
        <v>1.3429290442133095</v>
      </c>
      <c r="AK389" s="1998">
        <f>IF(Construction!$F$31=Construction!$R$22,Oeko!CX389,Oeko!FK389)</f>
        <v>1.3429290442133095</v>
      </c>
      <c r="AL389" s="1998">
        <f>IF(Construction!$F$31=Construction!$R$22,Oeko!CY389,Oeko!FL389)</f>
        <v>1.3429290442133095</v>
      </c>
      <c r="AM389" s="1979">
        <f>IF(Construction!$F$31=Construction!$R$22,Oeko!CZ389,Oeko!FM389)</f>
        <v>1.0685952348847838</v>
      </c>
      <c r="AN389" s="1979">
        <f>IF(Construction!$F$31=Construction!$R$22,Oeko!DA389,Oeko!FN389)</f>
        <v>1.0687573628092786</v>
      </c>
      <c r="AO389" s="1979">
        <f>IF(Construction!$F$31=Construction!$R$22,Oeko!DB389,Oeko!FO389)</f>
        <v>1.0689477688601385</v>
      </c>
      <c r="AP389" s="1979">
        <f>IF(Construction!$F$31=Construction!$R$22,Oeko!DC389,Oeko!FP389)</f>
        <v>1.069140060119423</v>
      </c>
      <c r="AQ389" s="1979">
        <f>IF(Construction!$F$31=Construction!$R$22,Oeko!DD389,Oeko!FQ389)</f>
        <v>1.0695453799306596</v>
      </c>
      <c r="AR389" s="1998">
        <f>IF(Construction!$F$31=Construction!$R$22,Oeko!DE389,Oeko!FR389)</f>
        <v>12.121947403555492</v>
      </c>
      <c r="AS389" s="1998">
        <f>IF(Construction!$F$31=Construction!$R$22,Oeko!DF389,Oeko!FS389)</f>
        <v>12.121947403555492</v>
      </c>
      <c r="AT389" s="1998">
        <f>IF(Construction!$F$31=Construction!$R$22,Oeko!DG389,Oeko!FT389)</f>
        <v>12.121947403555492</v>
      </c>
      <c r="AU389" s="1998">
        <f>IF(Construction!$F$31=Construction!$R$22,Oeko!DH389,Oeko!FU389)</f>
        <v>12.121947403555492</v>
      </c>
      <c r="AV389" s="1998">
        <f>IF(Construction!$F$31=Construction!$R$22,Oeko!DI389,Oeko!FV389)</f>
        <v>12.121947403555492</v>
      </c>
      <c r="AW389" s="1979">
        <f>IF(Construction!$F$31=Construction!$R$22,Oeko!DJ389,Oeko!FW389)</f>
        <v>10.746219253229928</v>
      </c>
      <c r="AX389" s="1979">
        <f>IF(Construction!$F$31=Construction!$R$22,Oeko!DK389,Oeko!FX389)</f>
        <v>10.746219253229928</v>
      </c>
      <c r="AY389" s="1979">
        <f>IF(Construction!$F$31=Construction!$R$22,Oeko!DL389,Oeko!FY389)</f>
        <v>10.746219253229928</v>
      </c>
      <c r="AZ389" s="1979">
        <f>IF(Construction!$F$31=Construction!$R$22,Oeko!DM389,Oeko!FZ389)</f>
        <v>10.746219253229928</v>
      </c>
      <c r="BA389" s="1979">
        <f>IF(Construction!$F$31=Construction!$R$22,Oeko!DN389,Oeko!GA389)</f>
        <v>10.746219253229928</v>
      </c>
      <c r="BB389" s="1998">
        <f>IF(Construction!$F$31=Construction!$R$22,Oeko!DO389,Oeko!GB389)</f>
        <v>0.98169567440259997</v>
      </c>
      <c r="BC389" s="1998">
        <f>IF(Construction!$F$31=Construction!$R$22,Oeko!DP389,Oeko!GC389)</f>
        <v>0.98169567440259997</v>
      </c>
      <c r="BD389" s="1998">
        <f>IF(Construction!$F$31=Construction!$R$22,Oeko!DQ389,Oeko!GD389)</f>
        <v>0.98169567440259997</v>
      </c>
      <c r="BE389" s="1998">
        <f>IF(Construction!$F$31=Construction!$R$22,Oeko!DR389,Oeko!GE389)</f>
        <v>0.98169567440259997</v>
      </c>
      <c r="BF389" s="1998">
        <f>IF(Construction!$F$31=Construction!$R$22,Oeko!DS389,Oeko!GF389)</f>
        <v>0.98169567440259997</v>
      </c>
      <c r="BG389" s="1979">
        <f>IF(Construction!$F$31=Construction!$R$22,Oeko!DT389,Oeko!GG389)</f>
        <v>0.981285890509214</v>
      </c>
      <c r="BH389" s="1979">
        <f>IF(Construction!$F$31=Construction!$R$22,Oeko!DU389,Oeko!GH389)</f>
        <v>0.981285890509214</v>
      </c>
      <c r="BI389" s="1979">
        <f>IF(Construction!$F$31=Construction!$R$22,Oeko!DV389,Oeko!GI389)</f>
        <v>0.981285890509214</v>
      </c>
      <c r="BJ389" s="1979">
        <f>IF(Construction!$F$31=Construction!$R$22,Oeko!DW389,Oeko!GJ389)</f>
        <v>0.981285890509214</v>
      </c>
      <c r="BK389" s="2021">
        <f>IF(Construction!$F$31=Construction!$R$22,Oeko!DX389,Oeko!GK389)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IF(Construction!$F$31=Construction!$R$22,Oeko!BQ390,Oeko!ED390)</f>
        <v>1.0035678512035164</v>
      </c>
      <c r="E390" s="1998">
        <f>IF(Construction!$F$31=Construction!$R$22,Oeko!BR390,Oeko!EE390)</f>
        <v>1.0038677878638316</v>
      </c>
      <c r="F390" s="1998">
        <f>IF(Construction!$F$31=Construction!$R$22,Oeko!BS390,Oeko!EF390)</f>
        <v>1.0042200390579228</v>
      </c>
      <c r="G390" s="1998">
        <f>IF(Construction!$F$31=Construction!$R$22,Oeko!BT390,Oeko!EG390)</f>
        <v>1.0045757778875988</v>
      </c>
      <c r="H390" s="1998">
        <f>IF(Construction!$F$31=Construction!$R$22,Oeko!BU390,Oeko!EH390)</f>
        <v>1.0053256195383868</v>
      </c>
      <c r="I390" s="1979">
        <f>IF(Construction!$F$31=Construction!$R$22,Oeko!BV390,Oeko!EI390)</f>
        <v>1.341125528154008</v>
      </c>
      <c r="J390" s="1979">
        <f>IF(Construction!$F$31=Construction!$R$22,Oeko!BW390,Oeko!EJ390)</f>
        <v>1.3417805904751985</v>
      </c>
      <c r="K390" s="1979">
        <f>IF(Construction!$F$31=Construction!$R$22,Oeko!BX390,Oeko!EK390)</f>
        <v>1.342549907852411</v>
      </c>
      <c r="L390" s="1979">
        <f>IF(Construction!$F$31=Construction!$R$22,Oeko!BY390,Oeko!EL390)</f>
        <v>1.343326842233358</v>
      </c>
      <c r="M390" s="1979">
        <f>IF(Construction!$F$31=Construction!$R$22,Oeko!BZ390,Oeko!EM390)</f>
        <v>1.3449644980363347</v>
      </c>
      <c r="N390" s="1998">
        <f>IF(Construction!$F$31=Construction!$R$22,Oeko!CA390,Oeko!EN390)</f>
        <v>1.0045051095032345</v>
      </c>
      <c r="O390" s="1998">
        <f>IF(Construction!$F$31=Construction!$R$22,Oeko!CB390,Oeko!EO390)</f>
        <v>1.0045051095032345</v>
      </c>
      <c r="P390" s="1998">
        <f>IF(Construction!$F$31=Construction!$R$22,Oeko!CC390,Oeko!EP390)</f>
        <v>1.0045051095032345</v>
      </c>
      <c r="Q390" s="1998">
        <f>IF(Construction!$F$31=Construction!$R$22,Oeko!CD390,Oeko!EQ390)</f>
        <v>1.0045051095032345</v>
      </c>
      <c r="R390" s="1998">
        <f>IF(Construction!$F$31=Construction!$R$22,Oeko!CE390,Oeko!ER390)</f>
        <v>1.0045051095032345</v>
      </c>
      <c r="S390" s="1979">
        <f>IF(Construction!$F$31=Construction!$R$22,Oeko!CF390,Oeko!ES390)</f>
        <v>1.2051234578664238</v>
      </c>
      <c r="T390" s="1979">
        <f>IF(Construction!$F$31=Construction!$R$22,Oeko!CG390,Oeko!ET390)</f>
        <v>1.2051234578664238</v>
      </c>
      <c r="U390" s="1979">
        <f>IF(Construction!$F$31=Construction!$R$22,Oeko!CH390,Oeko!EU390)</f>
        <v>1.2051234578664238</v>
      </c>
      <c r="V390" s="1979">
        <f>IF(Construction!$F$31=Construction!$R$22,Oeko!CI390,Oeko!EV390)</f>
        <v>1.2051234578664238</v>
      </c>
      <c r="W390" s="1979">
        <f>IF(Construction!$F$31=Construction!$R$22,Oeko!CJ390,Oeko!EW390)</f>
        <v>1.2051234578664238</v>
      </c>
      <c r="X390" s="1998">
        <f>IF(Construction!$F$31=Construction!$R$22,Oeko!CK390,Oeko!EX390)</f>
        <v>0.96375067402272641</v>
      </c>
      <c r="Y390" s="1998">
        <f>IF(Construction!$F$31=Construction!$R$22,Oeko!CL390,Oeko!EY390)</f>
        <v>0.96375067402272641</v>
      </c>
      <c r="Z390" s="1998">
        <f>IF(Construction!$F$31=Construction!$R$22,Oeko!CM390,Oeko!EZ390)</f>
        <v>0.96375067402272641</v>
      </c>
      <c r="AA390" s="1998">
        <f>IF(Construction!$F$31=Construction!$R$22,Oeko!CN390,Oeko!FA390)</f>
        <v>0.96375067402272641</v>
      </c>
      <c r="AB390" s="1998">
        <f>IF(Construction!$F$31=Construction!$R$22,Oeko!CO390,Oeko!FB390)</f>
        <v>0.96375067402272641</v>
      </c>
      <c r="AC390" s="1979">
        <f>IF(Construction!$F$31=Construction!$R$22,Oeko!CP390,Oeko!FC390)</f>
        <v>1.0040374510772934</v>
      </c>
      <c r="AD390" s="1979">
        <f>IF(Construction!$F$31=Construction!$R$22,Oeko!CQ390,Oeko!FD390)</f>
        <v>1.0040374510772934</v>
      </c>
      <c r="AE390" s="1979">
        <f>IF(Construction!$F$31=Construction!$R$22,Oeko!CR390,Oeko!FE390)</f>
        <v>1.0040374510772934</v>
      </c>
      <c r="AF390" s="1979">
        <f>IF(Construction!$F$31=Construction!$R$22,Oeko!CS390,Oeko!FF390)</f>
        <v>1.0040374510772934</v>
      </c>
      <c r="AG390" s="1979">
        <f>IF(Construction!$F$31=Construction!$R$22,Oeko!CT390,Oeko!FG390)</f>
        <v>1.0040374510772934</v>
      </c>
      <c r="AH390" s="1998">
        <f>IF(Construction!$F$31=Construction!$R$22,Oeko!CU390,Oeko!FH390)</f>
        <v>1.3440256968853066</v>
      </c>
      <c r="AI390" s="1998">
        <f>IF(Construction!$F$31=Construction!$R$22,Oeko!CV390,Oeko!FI390)</f>
        <v>1.3440256968853066</v>
      </c>
      <c r="AJ390" s="1998">
        <f>IF(Construction!$F$31=Construction!$R$22,Oeko!CW390,Oeko!FJ390)</f>
        <v>1.3440256968853066</v>
      </c>
      <c r="AK390" s="1998">
        <f>IF(Construction!$F$31=Construction!$R$22,Oeko!CX390,Oeko!FK390)</f>
        <v>1.3440256968853066</v>
      </c>
      <c r="AL390" s="1998">
        <f>IF(Construction!$F$31=Construction!$R$22,Oeko!CY390,Oeko!FL390)</f>
        <v>1.3440256968853066</v>
      </c>
      <c r="AM390" s="1979">
        <f>IF(Construction!$F$31=Construction!$R$22,Oeko!CZ390,Oeko!FM390)</f>
        <v>1.0016071401817641</v>
      </c>
      <c r="AN390" s="1979">
        <f>IF(Construction!$F$31=Construction!$R$22,Oeko!DA390,Oeko!FN390)</f>
        <v>1.0017422467855097</v>
      </c>
      <c r="AO390" s="1979">
        <f>IF(Construction!$F$31=Construction!$R$22,Oeko!DB390,Oeko!FO390)</f>
        <v>1.0019009184945598</v>
      </c>
      <c r="AP390" s="1979">
        <f>IF(Construction!$F$31=Construction!$R$22,Oeko!DC390,Oeko!FP390)</f>
        <v>1.00206116121063</v>
      </c>
      <c r="AQ390" s="1979">
        <f>IF(Construction!$F$31=Construction!$R$22,Oeko!DD390,Oeko!FQ390)</f>
        <v>1.0023989277199938</v>
      </c>
      <c r="AR390" s="1998">
        <f>IF(Construction!$F$31=Construction!$R$22,Oeko!DE390,Oeko!FR390)</f>
        <v>10.775064358715994</v>
      </c>
      <c r="AS390" s="1998">
        <f>IF(Construction!$F$31=Construction!$R$22,Oeko!DF390,Oeko!FS390)</f>
        <v>10.775064358715994</v>
      </c>
      <c r="AT390" s="1998">
        <f>IF(Construction!$F$31=Construction!$R$22,Oeko!DG390,Oeko!FT390)</f>
        <v>10.775064358715994</v>
      </c>
      <c r="AU390" s="1998">
        <f>IF(Construction!$F$31=Construction!$R$22,Oeko!DH390,Oeko!FU390)</f>
        <v>10.775064358715994</v>
      </c>
      <c r="AV390" s="1998">
        <f>IF(Construction!$F$31=Construction!$R$22,Oeko!DI390,Oeko!FV390)</f>
        <v>10.775064358715994</v>
      </c>
      <c r="AW390" s="1979">
        <f>IF(Construction!$F$31=Construction!$R$22,Oeko!DJ390,Oeko!FW390)</f>
        <v>10.754147630440517</v>
      </c>
      <c r="AX390" s="1979">
        <f>IF(Construction!$F$31=Construction!$R$22,Oeko!DK390,Oeko!FX390)</f>
        <v>10.754147630440517</v>
      </c>
      <c r="AY390" s="1979">
        <f>IF(Construction!$F$31=Construction!$R$22,Oeko!DL390,Oeko!FY390)</f>
        <v>10.754147630440517</v>
      </c>
      <c r="AZ390" s="1979">
        <f>IF(Construction!$F$31=Construction!$R$22,Oeko!DM390,Oeko!FZ390)</f>
        <v>10.754147630440517</v>
      </c>
      <c r="BA390" s="1979">
        <f>IF(Construction!$F$31=Construction!$R$22,Oeko!DN390,Oeko!GA390)</f>
        <v>10.754147630440517</v>
      </c>
      <c r="BB390" s="1998">
        <f>IF(Construction!$F$31=Construction!$R$22,Oeko!DO390,Oeko!GB390)</f>
        <v>0.98224968908559362</v>
      </c>
      <c r="BC390" s="1998">
        <f>IF(Construction!$F$31=Construction!$R$22,Oeko!DP390,Oeko!GC390)</f>
        <v>0.98224968908559362</v>
      </c>
      <c r="BD390" s="1998">
        <f>IF(Construction!$F$31=Construction!$R$22,Oeko!DQ390,Oeko!GD390)</f>
        <v>0.98224968908559362</v>
      </c>
      <c r="BE390" s="1998">
        <f>IF(Construction!$F$31=Construction!$R$22,Oeko!DR390,Oeko!GE390)</f>
        <v>0.98224968908559362</v>
      </c>
      <c r="BF390" s="1998">
        <f>IF(Construction!$F$31=Construction!$R$22,Oeko!DS390,Oeko!GF390)</f>
        <v>0.98224968908559362</v>
      </c>
      <c r="BG390" s="1979">
        <f>IF(Construction!$F$31=Construction!$R$22,Oeko!DT390,Oeko!GG390)</f>
        <v>0.98273482377438304</v>
      </c>
      <c r="BH390" s="1979">
        <f>IF(Construction!$F$31=Construction!$R$22,Oeko!DU390,Oeko!GH390)</f>
        <v>0.98273482377438304</v>
      </c>
      <c r="BI390" s="1979">
        <f>IF(Construction!$F$31=Construction!$R$22,Oeko!DV390,Oeko!GI390)</f>
        <v>0.98273482377438304</v>
      </c>
      <c r="BJ390" s="1979">
        <f>IF(Construction!$F$31=Construction!$R$22,Oeko!DW390,Oeko!GJ390)</f>
        <v>0.98273482377438304</v>
      </c>
      <c r="BK390" s="2021">
        <f>IF(Construction!$F$31=Construction!$R$22,Oeko!DX390,Oeko!GK390)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IF(Construction!$F$31=Construction!$R$22,Oeko!BQ391,Oeko!ED391)</f>
        <v>1.003668472154027</v>
      </c>
      <c r="E391" s="1998">
        <f>IF(Construction!$F$31=Construction!$R$22,Oeko!BR391,Oeko!EE391)</f>
        <v>1.0039768676625764</v>
      </c>
      <c r="F391" s="1998">
        <f>IF(Construction!$F$31=Construction!$R$22,Oeko!BS391,Oeko!EF391)</f>
        <v>1.0043390530854082</v>
      </c>
      <c r="G391" s="1998">
        <f>IF(Construction!$F$31=Construction!$R$22,Oeko!BT391,Oeko!EG391)</f>
        <v>1.0047048245025252</v>
      </c>
      <c r="H391" s="1998">
        <f>IF(Construction!$F$31=Construction!$R$22,Oeko!BU391,Oeko!EH391)</f>
        <v>1.0054758132738995</v>
      </c>
      <c r="I391" s="1979">
        <f>IF(Construction!$F$31=Construction!$R$22,Oeko!BV391,Oeko!EI391)</f>
        <v>1.3420118903148601</v>
      </c>
      <c r="J391" s="1979">
        <f>IF(Construction!$F$31=Construction!$R$22,Oeko!BW391,Oeko!EJ391)</f>
        <v>1.342741465975086</v>
      </c>
      <c r="K391" s="1979">
        <f>IF(Construction!$F$31=Construction!$R$22,Oeko!BX391,Oeko!EK391)</f>
        <v>1.3435982932039561</v>
      </c>
      <c r="L391" s="1979">
        <f>IF(Construction!$F$31=Construction!$R$22,Oeko!BY391,Oeko!EL391)</f>
        <v>1.344463603870736</v>
      </c>
      <c r="M391" s="1979">
        <f>IF(Construction!$F$31=Construction!$R$22,Oeko!BZ391,Oeko!EM391)</f>
        <v>1.3462875430213013</v>
      </c>
      <c r="N391" s="1998">
        <f>IF(Construction!$F$31=Construction!$R$22,Oeko!CA391,Oeko!EN391)</f>
        <v>0.9572604360632605</v>
      </c>
      <c r="O391" s="1998">
        <f>IF(Construction!$F$31=Construction!$R$22,Oeko!CB391,Oeko!EO391)</f>
        <v>0.9572604360632605</v>
      </c>
      <c r="P391" s="1998">
        <f>IF(Construction!$F$31=Construction!$R$22,Oeko!CC391,Oeko!EP391)</f>
        <v>0.9572604360632605</v>
      </c>
      <c r="Q391" s="1998">
        <f>IF(Construction!$F$31=Construction!$R$22,Oeko!CD391,Oeko!EQ391)</f>
        <v>0.9572604360632605</v>
      </c>
      <c r="R391" s="1998">
        <f>IF(Construction!$F$31=Construction!$R$22,Oeko!CE391,Oeko!ER391)</f>
        <v>0.9572604360632605</v>
      </c>
      <c r="S391" s="1979">
        <f>IF(Construction!$F$31=Construction!$R$22,Oeko!CF391,Oeko!ES391)</f>
        <v>1.1302173143144076</v>
      </c>
      <c r="T391" s="1979">
        <f>IF(Construction!$F$31=Construction!$R$22,Oeko!CG391,Oeko!ET391)</f>
        <v>1.1302173143144076</v>
      </c>
      <c r="U391" s="1979">
        <f>IF(Construction!$F$31=Construction!$R$22,Oeko!CH391,Oeko!EU391)</f>
        <v>1.1302173143144076</v>
      </c>
      <c r="V391" s="1979">
        <f>IF(Construction!$F$31=Construction!$R$22,Oeko!CI391,Oeko!EV391)</f>
        <v>1.1302173143144076</v>
      </c>
      <c r="W391" s="1979">
        <f>IF(Construction!$F$31=Construction!$R$22,Oeko!CJ391,Oeko!EW391)</f>
        <v>1.1302173143144076</v>
      </c>
      <c r="X391" s="1998">
        <f>IF(Construction!$F$31=Construction!$R$22,Oeko!CK391,Oeko!EX391)</f>
        <v>0.90427322886703843</v>
      </c>
      <c r="Y391" s="1998">
        <f>IF(Construction!$F$31=Construction!$R$22,Oeko!CL391,Oeko!EY391)</f>
        <v>0.90427322886703843</v>
      </c>
      <c r="Z391" s="1998">
        <f>IF(Construction!$F$31=Construction!$R$22,Oeko!CM391,Oeko!EZ391)</f>
        <v>0.90427322886703843</v>
      </c>
      <c r="AA391" s="1998">
        <f>IF(Construction!$F$31=Construction!$R$22,Oeko!CN391,Oeko!FA391)</f>
        <v>0.90427322886703843</v>
      </c>
      <c r="AB391" s="1998">
        <f>IF(Construction!$F$31=Construction!$R$22,Oeko!CO391,Oeko!FB391)</f>
        <v>0.90427322886703843</v>
      </c>
      <c r="AC391" s="1979">
        <f>IF(Construction!$F$31=Construction!$R$22,Oeko!CP391,Oeko!FC391)</f>
        <v>1.0049467869055124</v>
      </c>
      <c r="AD391" s="1979">
        <f>IF(Construction!$F$31=Construction!$R$22,Oeko!CQ391,Oeko!FD391)</f>
        <v>1.0049467869055124</v>
      </c>
      <c r="AE391" s="1979">
        <f>IF(Construction!$F$31=Construction!$R$22,Oeko!CR391,Oeko!FE391)</f>
        <v>1.0049467869055124</v>
      </c>
      <c r="AF391" s="1979">
        <f>IF(Construction!$F$31=Construction!$R$22,Oeko!CS391,Oeko!FF391)</f>
        <v>1.0049467869055124</v>
      </c>
      <c r="AG391" s="1979">
        <f>IF(Construction!$F$31=Construction!$R$22,Oeko!CT391,Oeko!FG391)</f>
        <v>1.0049467869055124</v>
      </c>
      <c r="AH391" s="1998">
        <f>IF(Construction!$F$31=Construction!$R$22,Oeko!CU391,Oeko!FH391)</f>
        <v>1.3451853559996394</v>
      </c>
      <c r="AI391" s="1998">
        <f>IF(Construction!$F$31=Construction!$R$22,Oeko!CV391,Oeko!FI391)</f>
        <v>1.3451853559996394</v>
      </c>
      <c r="AJ391" s="1998">
        <f>IF(Construction!$F$31=Construction!$R$22,Oeko!CW391,Oeko!FJ391)</f>
        <v>1.3451853559996394</v>
      </c>
      <c r="AK391" s="1998">
        <f>IF(Construction!$F$31=Construction!$R$22,Oeko!CX391,Oeko!FK391)</f>
        <v>1.3451853559996394</v>
      </c>
      <c r="AL391" s="1998">
        <f>IF(Construction!$F$31=Construction!$R$22,Oeko!CY391,Oeko!FL391)</f>
        <v>1.3451853559996394</v>
      </c>
      <c r="AM391" s="1979">
        <f>IF(Construction!$F$31=Construction!$R$22,Oeko!CZ391,Oeko!FM391)</f>
        <v>1.0021696392453814</v>
      </c>
      <c r="AN391" s="1979">
        <f>IF(Construction!$F$31=Construction!$R$22,Oeko!DA391,Oeko!FN391)</f>
        <v>1.0023520331604381</v>
      </c>
      <c r="AO391" s="1979">
        <f>IF(Construction!$F$31=Construction!$R$22,Oeko!DB391,Oeko!FO391)</f>
        <v>1.0025662399676556</v>
      </c>
      <c r="AP391" s="1979">
        <f>IF(Construction!$F$31=Construction!$R$22,Oeko!DC391,Oeko!FP391)</f>
        <v>1.0027825676343505</v>
      </c>
      <c r="AQ391" s="1979">
        <f>IF(Construction!$F$31=Construction!$R$22,Oeko!DD391,Oeko!FQ391)</f>
        <v>1.0032385524219918</v>
      </c>
      <c r="AR391" s="1998">
        <f>IF(Construction!$F$31=Construction!$R$22,Oeko!DE391,Oeko!FR391)</f>
        <v>10.799393236052577</v>
      </c>
      <c r="AS391" s="1998">
        <f>IF(Construction!$F$31=Construction!$R$22,Oeko!DF391,Oeko!FS391)</f>
        <v>10.799393236052577</v>
      </c>
      <c r="AT391" s="1998">
        <f>IF(Construction!$F$31=Construction!$R$22,Oeko!DG391,Oeko!FT391)</f>
        <v>10.799393236052577</v>
      </c>
      <c r="AU391" s="1998">
        <f>IF(Construction!$F$31=Construction!$R$22,Oeko!DH391,Oeko!FU391)</f>
        <v>10.799393236052577</v>
      </c>
      <c r="AV391" s="1998">
        <f>IF(Construction!$F$31=Construction!$R$22,Oeko!DI391,Oeko!FV391)</f>
        <v>10.799393236052577</v>
      </c>
      <c r="AW391" s="1979">
        <f>IF(Construction!$F$31=Construction!$R$22,Oeko!DJ391,Oeko!FW391)</f>
        <v>8.0537181570145044</v>
      </c>
      <c r="AX391" s="1979">
        <f>IF(Construction!$F$31=Construction!$R$22,Oeko!DK391,Oeko!FX391)</f>
        <v>8.0537181570145044</v>
      </c>
      <c r="AY391" s="1979">
        <f>IF(Construction!$F$31=Construction!$R$22,Oeko!DL391,Oeko!FY391)</f>
        <v>8.0537181570145044</v>
      </c>
      <c r="AZ391" s="1979">
        <f>IF(Construction!$F$31=Construction!$R$22,Oeko!DM391,Oeko!FZ391)</f>
        <v>8.0537181570145044</v>
      </c>
      <c r="BA391" s="1979">
        <f>IF(Construction!$F$31=Construction!$R$22,Oeko!DN391,Oeko!GA391)</f>
        <v>8.0537181570145044</v>
      </c>
      <c r="BB391" s="1998">
        <f>IF(Construction!$F$31=Construction!$R$22,Oeko!DO391,Oeko!GB391)</f>
        <v>0.98391173313457481</v>
      </c>
      <c r="BC391" s="1998">
        <f>IF(Construction!$F$31=Construction!$R$22,Oeko!DP391,Oeko!GC391)</f>
        <v>0.98391173313457481</v>
      </c>
      <c r="BD391" s="1998">
        <f>IF(Construction!$F$31=Construction!$R$22,Oeko!DQ391,Oeko!GD391)</f>
        <v>0.98391173313457481</v>
      </c>
      <c r="BE391" s="1998">
        <f>IF(Construction!$F$31=Construction!$R$22,Oeko!DR391,Oeko!GE391)</f>
        <v>0.98391173313457481</v>
      </c>
      <c r="BF391" s="1998">
        <f>IF(Construction!$F$31=Construction!$R$22,Oeko!DS391,Oeko!GF391)</f>
        <v>0.98391173313457481</v>
      </c>
      <c r="BG391" s="1979">
        <f>IF(Construction!$F$31=Construction!$R$22,Oeko!DT391,Oeko!GG391)</f>
        <v>0.98326170859808071</v>
      </c>
      <c r="BH391" s="1979">
        <f>IF(Construction!$F$31=Construction!$R$22,Oeko!DU391,Oeko!GH391)</f>
        <v>0.98326170859808071</v>
      </c>
      <c r="BI391" s="1979">
        <f>IF(Construction!$F$31=Construction!$R$22,Oeko!DV391,Oeko!GI391)</f>
        <v>0.98326170859808071</v>
      </c>
      <c r="BJ391" s="1979">
        <f>IF(Construction!$F$31=Construction!$R$22,Oeko!DW391,Oeko!GJ391)</f>
        <v>0.98326170859808071</v>
      </c>
      <c r="BK391" s="2021">
        <f>IF(Construction!$F$31=Construction!$R$22,Oeko!DX391,Oeko!GK391)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IF(Construction!$F$31=Construction!$R$22,Oeko!BQ392,Oeko!ED392)</f>
        <v>1.0042187429771308</v>
      </c>
      <c r="E392" s="1998">
        <f>IF(Construction!$F$31=Construction!$R$22,Oeko!BR392,Oeko!EE392)</f>
        <v>1.0045733978119629</v>
      </c>
      <c r="F392" s="1998">
        <f>IF(Construction!$F$31=Construction!$R$22,Oeko!BS392,Oeko!EF392)</f>
        <v>1.0049899110482194</v>
      </c>
      <c r="G392" s="1998">
        <f>IF(Construction!$F$31=Construction!$R$22,Oeko!BT392,Oeko!EG392)</f>
        <v>1.0054105481779039</v>
      </c>
      <c r="H392" s="1998">
        <f>IF(Construction!$F$31=Construction!$R$22,Oeko!BU392,Oeko!EH392)</f>
        <v>1.0062971852649842</v>
      </c>
      <c r="I392" s="1979">
        <f>IF(Construction!$F$31=Construction!$R$22,Oeko!BV392,Oeko!EI392)</f>
        <v>1.3416612415479294</v>
      </c>
      <c r="J392" s="1979">
        <f>IF(Construction!$F$31=Construction!$R$22,Oeko!BW392,Oeko!EJ392)</f>
        <v>1.3423613394037019</v>
      </c>
      <c r="K392" s="1979">
        <f>IF(Construction!$F$31=Construction!$R$22,Oeko!BX392,Oeko!EK392)</f>
        <v>1.3431835473505975</v>
      </c>
      <c r="L392" s="1979">
        <f>IF(Construction!$F$31=Construction!$R$22,Oeko!BY392,Oeko!EL392)</f>
        <v>1.344013895970235</v>
      </c>
      <c r="M392" s="1979">
        <f>IF(Construction!$F$31=Construction!$R$22,Oeko!BZ392,Oeko!EM392)</f>
        <v>1.3457641406096659</v>
      </c>
      <c r="N392" s="1998">
        <f>IF(Construction!$F$31=Construction!$R$22,Oeko!CA392,Oeko!EN392)</f>
        <v>0.91937383795995553</v>
      </c>
      <c r="O392" s="1998">
        <f>IF(Construction!$F$31=Construction!$R$22,Oeko!CB392,Oeko!EO392)</f>
        <v>0.91937383795995553</v>
      </c>
      <c r="P392" s="1998">
        <f>IF(Construction!$F$31=Construction!$R$22,Oeko!CC392,Oeko!EP392)</f>
        <v>0.91937383795995553</v>
      </c>
      <c r="Q392" s="1998">
        <f>IF(Construction!$F$31=Construction!$R$22,Oeko!CD392,Oeko!EQ392)</f>
        <v>0.91937383795995553</v>
      </c>
      <c r="R392" s="1998">
        <f>IF(Construction!$F$31=Construction!$R$22,Oeko!CE392,Oeko!ER392)</f>
        <v>0.91937383795995553</v>
      </c>
      <c r="S392" s="1979">
        <f>IF(Construction!$F$31=Construction!$R$22,Oeko!CF392,Oeko!ES392)</f>
        <v>1.132353928747927</v>
      </c>
      <c r="T392" s="1979">
        <f>IF(Construction!$F$31=Construction!$R$22,Oeko!CG392,Oeko!ET392)</f>
        <v>1.132353928747927</v>
      </c>
      <c r="U392" s="1979">
        <f>IF(Construction!$F$31=Construction!$R$22,Oeko!CH392,Oeko!EU392)</f>
        <v>1.132353928747927</v>
      </c>
      <c r="V392" s="1979">
        <f>IF(Construction!$F$31=Construction!$R$22,Oeko!CI392,Oeko!EV392)</f>
        <v>1.132353928747927</v>
      </c>
      <c r="W392" s="1979">
        <f>IF(Construction!$F$31=Construction!$R$22,Oeko!CJ392,Oeko!EW392)</f>
        <v>1.132353928747927</v>
      </c>
      <c r="X392" s="1998">
        <f>IF(Construction!$F$31=Construction!$R$22,Oeko!CK392,Oeko!EX392)</f>
        <v>0.90598252041385385</v>
      </c>
      <c r="Y392" s="1998">
        <f>IF(Construction!$F$31=Construction!$R$22,Oeko!CL392,Oeko!EY392)</f>
        <v>0.90598252041385385</v>
      </c>
      <c r="Z392" s="1998">
        <f>IF(Construction!$F$31=Construction!$R$22,Oeko!CM392,Oeko!EZ392)</f>
        <v>0.90598252041385385</v>
      </c>
      <c r="AA392" s="1998">
        <f>IF(Construction!$F$31=Construction!$R$22,Oeko!CN392,Oeko!FA392)</f>
        <v>0.90598252041385385</v>
      </c>
      <c r="AB392" s="1998">
        <f>IF(Construction!$F$31=Construction!$R$22,Oeko!CO392,Oeko!FB392)</f>
        <v>0.90598252041385385</v>
      </c>
      <c r="AC392" s="1979">
        <f>IF(Construction!$F$31=Construction!$R$22,Oeko!CP392,Oeko!FC392)</f>
        <v>1.0061834836318906</v>
      </c>
      <c r="AD392" s="1979">
        <f>IF(Construction!$F$31=Construction!$R$22,Oeko!CQ392,Oeko!FD392)</f>
        <v>1.0061834836318906</v>
      </c>
      <c r="AE392" s="1979">
        <f>IF(Construction!$F$31=Construction!$R$22,Oeko!CR392,Oeko!FE392)</f>
        <v>1.0061834836318906</v>
      </c>
      <c r="AF392" s="1979">
        <f>IF(Construction!$F$31=Construction!$R$22,Oeko!CS392,Oeko!FF392)</f>
        <v>1.0061834836318906</v>
      </c>
      <c r="AG392" s="1979">
        <f>IF(Construction!$F$31=Construction!$R$22,Oeko!CT392,Oeko!FG392)</f>
        <v>1.0061834836318906</v>
      </c>
      <c r="AH392" s="1998">
        <f>IF(Construction!$F$31=Construction!$R$22,Oeko!CU392,Oeko!FH392)</f>
        <v>1.3462581683961585</v>
      </c>
      <c r="AI392" s="1998">
        <f>IF(Construction!$F$31=Construction!$R$22,Oeko!CV392,Oeko!FI392)</f>
        <v>1.3462581683961585</v>
      </c>
      <c r="AJ392" s="1998">
        <f>IF(Construction!$F$31=Construction!$R$22,Oeko!CW392,Oeko!FJ392)</f>
        <v>1.3462581683961585</v>
      </c>
      <c r="AK392" s="1998">
        <f>IF(Construction!$F$31=Construction!$R$22,Oeko!CX392,Oeko!FK392)</f>
        <v>1.3462581683961585</v>
      </c>
      <c r="AL392" s="1998">
        <f>IF(Construction!$F$31=Construction!$R$22,Oeko!CY392,Oeko!FL392)</f>
        <v>1.3462581683961585</v>
      </c>
      <c r="AM392" s="1979">
        <f>IF(Construction!$F$31=Construction!$R$22,Oeko!CZ392,Oeko!FM392)</f>
        <v>1.0028928523271756</v>
      </c>
      <c r="AN392" s="1979">
        <f>IF(Construction!$F$31=Construction!$R$22,Oeko!DA392,Oeko!FN392)</f>
        <v>1.0031360442139177</v>
      </c>
      <c r="AO392" s="1979">
        <f>IF(Construction!$F$31=Construction!$R$22,Oeko!DB392,Oeko!FO392)</f>
        <v>1.0034216532902078</v>
      </c>
      <c r="AP392" s="1979">
        <f>IF(Construction!$F$31=Construction!$R$22,Oeko!DC392,Oeko!FP392)</f>
        <v>1.0037100901791343</v>
      </c>
      <c r="AQ392" s="1979">
        <f>IF(Construction!$F$31=Construction!$R$22,Oeko!DD392,Oeko!FQ392)</f>
        <v>1.0043180698959893</v>
      </c>
      <c r="AR392" s="1998">
        <f>IF(Construction!$F$31=Construction!$R$22,Oeko!DE392,Oeko!FR392)</f>
        <v>8.0975175205947174</v>
      </c>
      <c r="AS392" s="1998">
        <f>IF(Construction!$F$31=Construction!$R$22,Oeko!DF392,Oeko!FS392)</f>
        <v>8.0975175205947174</v>
      </c>
      <c r="AT392" s="1998">
        <f>IF(Construction!$F$31=Construction!$R$22,Oeko!DG392,Oeko!FT392)</f>
        <v>8.0975175205947174</v>
      </c>
      <c r="AU392" s="1998">
        <f>IF(Construction!$F$31=Construction!$R$22,Oeko!DH392,Oeko!FU392)</f>
        <v>8.0975175205947174</v>
      </c>
      <c r="AV392" s="1998">
        <f>IF(Construction!$F$31=Construction!$R$22,Oeko!DI392,Oeko!FV392)</f>
        <v>8.0975175205947174</v>
      </c>
      <c r="AW392" s="1979">
        <f>IF(Construction!$F$31=Construction!$R$22,Oeko!DJ392,Oeko!FW392)</f>
        <v>8.0834495715542101</v>
      </c>
      <c r="AX392" s="1979">
        <f>IF(Construction!$F$31=Construction!$R$22,Oeko!DK392,Oeko!FX392)</f>
        <v>8.0834495715542101</v>
      </c>
      <c r="AY392" s="1979">
        <f>IF(Construction!$F$31=Construction!$R$22,Oeko!DL392,Oeko!FY392)</f>
        <v>8.0834495715542101</v>
      </c>
      <c r="AZ392" s="1979">
        <f>IF(Construction!$F$31=Construction!$R$22,Oeko!DM392,Oeko!FZ392)</f>
        <v>8.0834495715542101</v>
      </c>
      <c r="BA392" s="1979">
        <f>IF(Construction!$F$31=Construction!$R$22,Oeko!DN392,Oeko!GA392)</f>
        <v>8.0834495715542101</v>
      </c>
      <c r="BB392" s="1998">
        <f>IF(Construction!$F$31=Construction!$R$22,Oeko!DO392,Oeko!GB392)</f>
        <v>0.98542268227001228</v>
      </c>
      <c r="BC392" s="1998">
        <f>IF(Construction!$F$31=Construction!$R$22,Oeko!DP392,Oeko!GC392)</f>
        <v>0.98542268227001228</v>
      </c>
      <c r="BD392" s="1998">
        <f>IF(Construction!$F$31=Construction!$R$22,Oeko!DQ392,Oeko!GD392)</f>
        <v>0.98542268227001228</v>
      </c>
      <c r="BE392" s="1998">
        <f>IF(Construction!$F$31=Construction!$R$22,Oeko!DR392,Oeko!GE392)</f>
        <v>0.98542268227001228</v>
      </c>
      <c r="BF392" s="1998">
        <f>IF(Construction!$F$31=Construction!$R$22,Oeko!DS392,Oeko!GF392)</f>
        <v>0.98542268227001228</v>
      </c>
      <c r="BG392" s="1979">
        <f>IF(Construction!$F$31=Construction!$R$22,Oeko!DT392,Oeko!GG392)</f>
        <v>0.98457892065732533</v>
      </c>
      <c r="BH392" s="1979">
        <f>IF(Construction!$F$31=Construction!$R$22,Oeko!DU392,Oeko!GH392)</f>
        <v>0.98457892065732533</v>
      </c>
      <c r="BI392" s="1979">
        <f>IF(Construction!$F$31=Construction!$R$22,Oeko!DV392,Oeko!GI392)</f>
        <v>0.98457892065732533</v>
      </c>
      <c r="BJ392" s="1979">
        <f>IF(Construction!$F$31=Construction!$R$22,Oeko!DW392,Oeko!GJ392)</f>
        <v>0.98457892065732533</v>
      </c>
      <c r="BK392" s="2021">
        <f>IF(Construction!$F$31=Construction!$R$22,Oeko!DX392,Oeko!GK392)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IF(Construction!$F$31=Construction!$R$22,Oeko!BQ393,Oeko!ED393)</f>
        <v>1.0044770333634858</v>
      </c>
      <c r="E393" s="1998">
        <f>IF(Construction!$F$31=Construction!$R$22,Oeko!BR393,Oeko!EE393)</f>
        <v>1.0048534017596342</v>
      </c>
      <c r="F393" s="1998">
        <f>IF(Construction!$F$31=Construction!$R$22,Oeko!BS393,Oeko!EF393)</f>
        <v>1.0052954158062735</v>
      </c>
      <c r="G393" s="1998">
        <f>IF(Construction!$F$31=Construction!$R$22,Oeko!BT393,Oeko!EG393)</f>
        <v>1.0057418062296124</v>
      </c>
      <c r="H393" s="1998">
        <f>IF(Construction!$F$31=Construction!$R$22,Oeko!BU393,Oeko!EH393)</f>
        <v>1.0066827272199834</v>
      </c>
      <c r="I393" s="1979">
        <f>IF(Construction!$F$31=Construction!$R$22,Oeko!BV393,Oeko!EI393)</f>
        <v>1.3424404610299967</v>
      </c>
      <c r="J393" s="1979">
        <f>IF(Construction!$F$31=Construction!$R$22,Oeko!BW393,Oeko!EJ393)</f>
        <v>1.3432060651178885</v>
      </c>
      <c r="K393" s="1979">
        <f>IF(Construction!$F$31=Construction!$R$22,Oeko!BX393,Oeko!EK393)</f>
        <v>1.3441052048025055</v>
      </c>
      <c r="L393" s="1979">
        <f>IF(Construction!$F$31=Construction!$R$22,Oeko!BY393,Oeko!EL393)</f>
        <v>1.3450132468602374</v>
      </c>
      <c r="M393" s="1979">
        <f>IF(Construction!$F$31=Construction!$R$22,Oeko!BZ393,Oeko!EM393)</f>
        <v>1.3469272570799662</v>
      </c>
      <c r="N393" s="1998">
        <f>IF(Construction!$F$31=Construction!$R$22,Oeko!CA393,Oeko!EN393)</f>
        <v>0.86244298597019187</v>
      </c>
      <c r="O393" s="1998">
        <f>IF(Construction!$F$31=Construction!$R$22,Oeko!CB393,Oeko!EO393)</f>
        <v>0.86244298597019187</v>
      </c>
      <c r="P393" s="1998">
        <f>IF(Construction!$F$31=Construction!$R$22,Oeko!CC393,Oeko!EP393)</f>
        <v>0.86244298597019187</v>
      </c>
      <c r="Q393" s="1998">
        <f>IF(Construction!$F$31=Construction!$R$22,Oeko!CD393,Oeko!EQ393)</f>
        <v>0.86244298597019187</v>
      </c>
      <c r="R393" s="1998">
        <f>IF(Construction!$F$31=Construction!$R$22,Oeko!CE393,Oeko!ER393)</f>
        <v>0.86244298597019187</v>
      </c>
      <c r="S393" s="1979">
        <f>IF(Construction!$F$31=Construction!$R$22,Oeko!CF393,Oeko!ES393)</f>
        <v>1.1339439673961271</v>
      </c>
      <c r="T393" s="1979">
        <f>IF(Construction!$F$31=Construction!$R$22,Oeko!CG393,Oeko!ET393)</f>
        <v>1.1339439673961271</v>
      </c>
      <c r="U393" s="1979">
        <f>IF(Construction!$F$31=Construction!$R$22,Oeko!CH393,Oeko!EU393)</f>
        <v>1.1339439673961271</v>
      </c>
      <c r="V393" s="1979">
        <f>IF(Construction!$F$31=Construction!$R$22,Oeko!CI393,Oeko!EV393)</f>
        <v>1.1339439673961271</v>
      </c>
      <c r="W393" s="1979">
        <f>IF(Construction!$F$31=Construction!$R$22,Oeko!CJ393,Oeko!EW393)</f>
        <v>1.1339439673961271</v>
      </c>
      <c r="X393" s="1998">
        <f>IF(Construction!$F$31=Construction!$R$22,Oeko!CK393,Oeko!EX393)</f>
        <v>0.90683716618726173</v>
      </c>
      <c r="Y393" s="1998">
        <f>IF(Construction!$F$31=Construction!$R$22,Oeko!CL393,Oeko!EY393)</f>
        <v>0.90683716618726173</v>
      </c>
      <c r="Z393" s="1998">
        <f>IF(Construction!$F$31=Construction!$R$22,Oeko!CM393,Oeko!EZ393)</f>
        <v>0.90683716618726173</v>
      </c>
      <c r="AA393" s="1998">
        <f>IF(Construction!$F$31=Construction!$R$22,Oeko!CN393,Oeko!FA393)</f>
        <v>0.90683716618726173</v>
      </c>
      <c r="AB393" s="1998">
        <f>IF(Construction!$F$31=Construction!$R$22,Oeko!CO393,Oeko!FB393)</f>
        <v>0.90683716618726173</v>
      </c>
      <c r="AC393" s="1979">
        <f>IF(Construction!$F$31=Construction!$R$22,Oeko!CP393,Oeko!FC393)</f>
        <v>1.0068018319950796</v>
      </c>
      <c r="AD393" s="1979">
        <f>IF(Construction!$F$31=Construction!$R$22,Oeko!CQ393,Oeko!FD393)</f>
        <v>1.0068018319950796</v>
      </c>
      <c r="AE393" s="1979">
        <f>IF(Construction!$F$31=Construction!$R$22,Oeko!CR393,Oeko!FE393)</f>
        <v>1.0068018319950796</v>
      </c>
      <c r="AF393" s="1979">
        <f>IF(Construction!$F$31=Construction!$R$22,Oeko!CS393,Oeko!FF393)</f>
        <v>1.0068018319950796</v>
      </c>
      <c r="AG393" s="1979">
        <f>IF(Construction!$F$31=Construction!$R$22,Oeko!CT393,Oeko!FG393)</f>
        <v>1.0068018319950796</v>
      </c>
      <c r="AH393" s="1998">
        <f>IF(Construction!$F$31=Construction!$R$22,Oeko!CU393,Oeko!FH393)</f>
        <v>1.3481381444052964</v>
      </c>
      <c r="AI393" s="1998">
        <f>IF(Construction!$F$31=Construction!$R$22,Oeko!CV393,Oeko!FI393)</f>
        <v>1.3481381444052964</v>
      </c>
      <c r="AJ393" s="1998">
        <f>IF(Construction!$F$31=Construction!$R$22,Oeko!CW393,Oeko!FJ393)</f>
        <v>1.3481381444052964</v>
      </c>
      <c r="AK393" s="1998">
        <f>IF(Construction!$F$31=Construction!$R$22,Oeko!CX393,Oeko!FK393)</f>
        <v>1.3481381444052964</v>
      </c>
      <c r="AL393" s="1998">
        <f>IF(Construction!$F$31=Construction!$R$22,Oeko!CY393,Oeko!FL393)</f>
        <v>1.3481381444052964</v>
      </c>
      <c r="AM393" s="1979">
        <f>IF(Construction!$F$31=Construction!$R$22,Oeko!CZ393,Oeko!FM393)</f>
        <v>1.0035357083998813</v>
      </c>
      <c r="AN393" s="1979">
        <f>IF(Construction!$F$31=Construction!$R$22,Oeko!DA393,Oeko!FN393)</f>
        <v>1.0038329429281214</v>
      </c>
      <c r="AO393" s="1979">
        <f>IF(Construction!$F$31=Construction!$R$22,Oeko!DB393,Oeko!FO393)</f>
        <v>1.0041820206880316</v>
      </c>
      <c r="AP393" s="1979">
        <f>IF(Construction!$F$31=Construction!$R$22,Oeko!DC393,Oeko!FP393)</f>
        <v>1.0045345546633864</v>
      </c>
      <c r="AQ393" s="1979">
        <f>IF(Construction!$F$31=Construction!$R$22,Oeko!DD393,Oeko!FQ393)</f>
        <v>1.005277640983987</v>
      </c>
      <c r="AR393" s="1998">
        <f>IF(Construction!$F$31=Construction!$R$22,Oeko!DE393,Oeko!FR393)</f>
        <v>8.118370844026078</v>
      </c>
      <c r="AS393" s="1998">
        <f>IF(Construction!$F$31=Construction!$R$22,Oeko!DF393,Oeko!FS393)</f>
        <v>8.118370844026078</v>
      </c>
      <c r="AT393" s="1998">
        <f>IF(Construction!$F$31=Construction!$R$22,Oeko!DG393,Oeko!FT393)</f>
        <v>8.118370844026078</v>
      </c>
      <c r="AU393" s="1998">
        <f>IF(Construction!$F$31=Construction!$R$22,Oeko!DH393,Oeko!FU393)</f>
        <v>8.118370844026078</v>
      </c>
      <c r="AV393" s="1998">
        <f>IF(Construction!$F$31=Construction!$R$22,Oeko!DI393,Oeko!FV393)</f>
        <v>8.118370844026078</v>
      </c>
      <c r="AW393" s="1979">
        <f>IF(Construction!$F$31=Construction!$R$22,Oeko!DJ393,Oeko!FW393)</f>
        <v>8.1115292408417119</v>
      </c>
      <c r="AX393" s="1979">
        <f>IF(Construction!$F$31=Construction!$R$22,Oeko!DK393,Oeko!FX393)</f>
        <v>8.1115292408417119</v>
      </c>
      <c r="AY393" s="1979">
        <f>IF(Construction!$F$31=Construction!$R$22,Oeko!DL393,Oeko!FY393)</f>
        <v>8.1115292408417119</v>
      </c>
      <c r="AZ393" s="1979">
        <f>IF(Construction!$F$31=Construction!$R$22,Oeko!DM393,Oeko!FZ393)</f>
        <v>8.1115292408417119</v>
      </c>
      <c r="BA393" s="1979">
        <f>IF(Construction!$F$31=Construction!$R$22,Oeko!DN393,Oeko!GA393)</f>
        <v>8.1115292408417119</v>
      </c>
      <c r="BB393" s="1998">
        <f>IF(Construction!$F$31=Construction!$R$22,Oeko!DO393,Oeko!GB393)</f>
        <v>0.98391173313457481</v>
      </c>
      <c r="BC393" s="1998">
        <f>IF(Construction!$F$31=Construction!$R$22,Oeko!DP393,Oeko!GC393)</f>
        <v>0.98391173313457481</v>
      </c>
      <c r="BD393" s="1998">
        <f>IF(Construction!$F$31=Construction!$R$22,Oeko!DQ393,Oeko!GD393)</f>
        <v>0.98391173313457481</v>
      </c>
      <c r="BE393" s="1998">
        <f>IF(Construction!$F$31=Construction!$R$22,Oeko!DR393,Oeko!GE393)</f>
        <v>0.98391173313457481</v>
      </c>
      <c r="BF393" s="1998">
        <f>IF(Construction!$F$31=Construction!$R$22,Oeko!DS393,Oeko!GF393)</f>
        <v>0.98391173313457481</v>
      </c>
      <c r="BG393" s="1979">
        <f>IF(Construction!$F$31=Construction!$R$22,Oeko!DT393,Oeko!GG393)</f>
        <v>0.98382622805204278</v>
      </c>
      <c r="BH393" s="1979">
        <f>IF(Construction!$F$31=Construction!$R$22,Oeko!DU393,Oeko!GH393)</f>
        <v>0.98382622805204278</v>
      </c>
      <c r="BI393" s="1979">
        <f>IF(Construction!$F$31=Construction!$R$22,Oeko!DV393,Oeko!GI393)</f>
        <v>0.98382622805204278</v>
      </c>
      <c r="BJ393" s="1979">
        <f>IF(Construction!$F$31=Construction!$R$22,Oeko!DW393,Oeko!GJ393)</f>
        <v>0.98382622805204278</v>
      </c>
      <c r="BK393" s="2021">
        <f>IF(Construction!$F$31=Construction!$R$22,Oeko!DX393,Oeko!GK393)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IF(Construction!$F$31=Construction!$R$22,Oeko!BQ394,Oeko!ED394)</f>
        <v>1.0050405760246239</v>
      </c>
      <c r="E394" s="1998">
        <f>IF(Construction!$F$31=Construction!$R$22,Oeko!BR394,Oeko!EE394)</f>
        <v>1.0054643194636441</v>
      </c>
      <c r="F394" s="1998">
        <f>IF(Construction!$F$31=Construction!$R$22,Oeko!BS394,Oeko!EF394)</f>
        <v>1.0059619716420283</v>
      </c>
      <c r="G394" s="1998">
        <f>IF(Construction!$F$31=Construction!$R$22,Oeko!BT394,Oeko!EG394)</f>
        <v>1.0064645510697035</v>
      </c>
      <c r="H394" s="1998">
        <f>IF(Construction!$F$31=Construction!$R$22,Oeko!BU394,Oeko!EH394)</f>
        <v>1.0075239096672539</v>
      </c>
      <c r="I394" s="1979">
        <f>IF(Construction!$F$31=Construction!$R$22,Oeko!BV394,Oeko!EI394)</f>
        <v>1.0048214205452926</v>
      </c>
      <c r="J394" s="1979">
        <f>IF(Construction!$F$31=Construction!$R$22,Oeko!BW394,Oeko!EJ394)</f>
        <v>1.0052267403565291</v>
      </c>
      <c r="K394" s="1979">
        <f>IF(Construction!$F$31=Construction!$R$22,Oeko!BX394,Oeko!EK394)</f>
        <v>1.0057027554836795</v>
      </c>
      <c r="L394" s="1979">
        <f>IF(Construction!$F$31=Construction!$R$22,Oeko!BY394,Oeko!EL394)</f>
        <v>1.0061834836318901</v>
      </c>
      <c r="M394" s="1979">
        <f>IF(Construction!$F$31=Construction!$R$22,Oeko!BZ394,Oeko!EM394)</f>
        <v>1.0071967831599822</v>
      </c>
      <c r="N394" s="1998">
        <f>IF(Construction!$F$31=Construction!$R$22,Oeko!CA394,Oeko!EN394)</f>
        <v>0.76661598752905924</v>
      </c>
      <c r="O394" s="1998">
        <f>IF(Construction!$F$31=Construction!$R$22,Oeko!CB394,Oeko!EO394)</f>
        <v>0.76661598752905924</v>
      </c>
      <c r="P394" s="1998">
        <f>IF(Construction!$F$31=Construction!$R$22,Oeko!CC394,Oeko!EP394)</f>
        <v>0.76661598752905924</v>
      </c>
      <c r="Q394" s="1998">
        <f>IF(Construction!$F$31=Construction!$R$22,Oeko!CD394,Oeko!EQ394)</f>
        <v>0.76661598752905924</v>
      </c>
      <c r="R394" s="1998">
        <f>IF(Construction!$F$31=Construction!$R$22,Oeko!CE394,Oeko!ER394)</f>
        <v>0.76661598752905924</v>
      </c>
      <c r="S394" s="1979">
        <f>IF(Construction!$F$31=Construction!$R$22,Oeko!CF394,Oeko!ES394)</f>
        <v>1.1349377415512525</v>
      </c>
      <c r="T394" s="1979">
        <f>IF(Construction!$F$31=Construction!$R$22,Oeko!CG394,Oeko!ET394)</f>
        <v>1.1349377415512525</v>
      </c>
      <c r="U394" s="1979">
        <f>IF(Construction!$F$31=Construction!$R$22,Oeko!CH394,Oeko!EU394)</f>
        <v>1.1349377415512525</v>
      </c>
      <c r="V394" s="1979">
        <f>IF(Construction!$F$31=Construction!$R$22,Oeko!CI394,Oeko!EV394)</f>
        <v>1.1349377415512525</v>
      </c>
      <c r="W394" s="1979">
        <f>IF(Construction!$F$31=Construction!$R$22,Oeko!CJ394,Oeko!EW394)</f>
        <v>1.1349377415512525</v>
      </c>
      <c r="X394" s="1998">
        <f>IF(Construction!$F$31=Construction!$R$22,Oeko!CK394,Oeko!EX394)</f>
        <v>0.80664724490428208</v>
      </c>
      <c r="Y394" s="1998">
        <f>IF(Construction!$F$31=Construction!$R$22,Oeko!CL394,Oeko!EY394)</f>
        <v>0.80664724490428208</v>
      </c>
      <c r="Z394" s="1998">
        <f>IF(Construction!$F$31=Construction!$R$22,Oeko!CM394,Oeko!EZ394)</f>
        <v>0.80664724490428208</v>
      </c>
      <c r="AA394" s="1998">
        <f>IF(Construction!$F$31=Construction!$R$22,Oeko!CN394,Oeko!FA394)</f>
        <v>0.80664724490428208</v>
      </c>
      <c r="AB394" s="1998">
        <f>IF(Construction!$F$31=Construction!$R$22,Oeko!CO394,Oeko!FB394)</f>
        <v>0.80664724490428208</v>
      </c>
      <c r="AC394" s="1979">
        <f>IF(Construction!$F$31=Construction!$R$22,Oeko!CP394,Oeko!FC394)</f>
        <v>1.0083477029030523</v>
      </c>
      <c r="AD394" s="1979">
        <f>IF(Construction!$F$31=Construction!$R$22,Oeko!CQ394,Oeko!FD394)</f>
        <v>1.0083477029030523</v>
      </c>
      <c r="AE394" s="1979">
        <f>IF(Construction!$F$31=Construction!$R$22,Oeko!CR394,Oeko!FE394)</f>
        <v>1.0083477029030523</v>
      </c>
      <c r="AF394" s="1979">
        <f>IF(Construction!$F$31=Construction!$R$22,Oeko!CS394,Oeko!FF394)</f>
        <v>1.0083477029030523</v>
      </c>
      <c r="AG394" s="1979">
        <f>IF(Construction!$F$31=Construction!$R$22,Oeko!CT394,Oeko!FG394)</f>
        <v>1.0083477029030523</v>
      </c>
      <c r="AH394" s="1998">
        <f>IF(Construction!$F$31=Construction!$R$22,Oeko!CU394,Oeko!FH394)</f>
        <v>1.0096936262971188</v>
      </c>
      <c r="AI394" s="1998">
        <f>IF(Construction!$F$31=Construction!$R$22,Oeko!CV394,Oeko!FI394)</f>
        <v>1.0096936262971188</v>
      </c>
      <c r="AJ394" s="1998">
        <f>IF(Construction!$F$31=Construction!$R$22,Oeko!CW394,Oeko!FJ394)</f>
        <v>1.0096936262971188</v>
      </c>
      <c r="AK394" s="1998">
        <f>IF(Construction!$F$31=Construction!$R$22,Oeko!CX394,Oeko!FK394)</f>
        <v>1.0096936262971188</v>
      </c>
      <c r="AL394" s="1998">
        <f>IF(Construction!$F$31=Construction!$R$22,Oeko!CY394,Oeko!FL394)</f>
        <v>1.0096936262971188</v>
      </c>
      <c r="AM394" s="1979">
        <f>IF(Construction!$F$31=Construction!$R$22,Oeko!CZ394,Oeko!FM394)</f>
        <v>0.89146031317971164</v>
      </c>
      <c r="AN394" s="1979">
        <f>IF(Construction!$F$31=Construction!$R$22,Oeko!DA394,Oeko!FN394)</f>
        <v>0.89167648374570452</v>
      </c>
      <c r="AO394" s="1979">
        <f>IF(Construction!$F$31=Construction!$R$22,Oeko!DB394,Oeko!FO394)</f>
        <v>0.89193035848018454</v>
      </c>
      <c r="AP394" s="1979">
        <f>IF(Construction!$F$31=Construction!$R$22,Oeko!DC394,Oeko!FP394)</f>
        <v>0.89218674682589705</v>
      </c>
      <c r="AQ394" s="1979">
        <f>IF(Construction!$F$31=Construction!$R$22,Oeko!DD394,Oeko!FQ394)</f>
        <v>0.89272717324087936</v>
      </c>
      <c r="AR394" s="1998">
        <f>IF(Construction!$F$31=Construction!$R$22,Oeko!DE394,Oeko!FR394)</f>
        <v>8.1508093471415233</v>
      </c>
      <c r="AS394" s="1998">
        <f>IF(Construction!$F$31=Construction!$R$22,Oeko!DF394,Oeko!FS394)</f>
        <v>8.1508093471415233</v>
      </c>
      <c r="AT394" s="1998">
        <f>IF(Construction!$F$31=Construction!$R$22,Oeko!DG394,Oeko!FT394)</f>
        <v>8.1508093471415233</v>
      </c>
      <c r="AU394" s="1998">
        <f>IF(Construction!$F$31=Construction!$R$22,Oeko!DH394,Oeko!FU394)</f>
        <v>8.1508093471415233</v>
      </c>
      <c r="AV394" s="1998">
        <f>IF(Construction!$F$31=Construction!$R$22,Oeko!DI394,Oeko!FV394)</f>
        <v>8.1508093471415233</v>
      </c>
      <c r="AW394" s="1979">
        <f>IF(Construction!$F$31=Construction!$R$22,Oeko!DJ394,Oeko!FW394)</f>
        <v>8.1360989514682718</v>
      </c>
      <c r="AX394" s="1979">
        <f>IF(Construction!$F$31=Construction!$R$22,Oeko!DK394,Oeko!FX394)</f>
        <v>8.1360989514682718</v>
      </c>
      <c r="AY394" s="1979">
        <f>IF(Construction!$F$31=Construction!$R$22,Oeko!DL394,Oeko!FY394)</f>
        <v>8.1360989514682718</v>
      </c>
      <c r="AZ394" s="1979">
        <f>IF(Construction!$F$31=Construction!$R$22,Oeko!DM394,Oeko!FZ394)</f>
        <v>8.1360989514682718</v>
      </c>
      <c r="BA394" s="1979">
        <f>IF(Construction!$F$31=Construction!$R$22,Oeko!DN394,Oeko!GA394)</f>
        <v>8.1360989514682718</v>
      </c>
      <c r="BB394" s="1998">
        <f>IF(Construction!$F$31=Construction!$R$22,Oeko!DO394,Oeko!GB394)</f>
        <v>0.98542268227001228</v>
      </c>
      <c r="BC394" s="1998">
        <f>IF(Construction!$F$31=Construction!$R$22,Oeko!DP394,Oeko!GC394)</f>
        <v>0.98542268227001228</v>
      </c>
      <c r="BD394" s="1998">
        <f>IF(Construction!$F$31=Construction!$R$22,Oeko!DQ394,Oeko!GD394)</f>
        <v>0.98542268227001228</v>
      </c>
      <c r="BE394" s="1998">
        <f>IF(Construction!$F$31=Construction!$R$22,Oeko!DR394,Oeko!GE394)</f>
        <v>0.98542268227001228</v>
      </c>
      <c r="BF394" s="1998">
        <f>IF(Construction!$F$31=Construction!$R$22,Oeko!DS394,Oeko!GF394)</f>
        <v>0.98542268227001228</v>
      </c>
      <c r="BG394" s="1979">
        <f>IF(Construction!$F$31=Construction!$R$22,Oeko!DT394,Oeko!GG394)</f>
        <v>0.98518107474155125</v>
      </c>
      <c r="BH394" s="1979">
        <f>IF(Construction!$F$31=Construction!$R$22,Oeko!DU394,Oeko!GH394)</f>
        <v>0.98518107474155125</v>
      </c>
      <c r="BI394" s="1979">
        <f>IF(Construction!$F$31=Construction!$R$22,Oeko!DV394,Oeko!GI394)</f>
        <v>0.98518107474155125</v>
      </c>
      <c r="BJ394" s="1979">
        <f>IF(Construction!$F$31=Construction!$R$22,Oeko!DW394,Oeko!GJ394)</f>
        <v>0.98518107474155125</v>
      </c>
      <c r="BK394" s="2021">
        <f>IF(Construction!$F$31=Construction!$R$22,Oeko!DX394,Oeko!GK394)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IF(Construction!$F$31=Construction!$R$22,Oeko!BQ395,Oeko!ED395)</f>
        <v>0.97712278224616211</v>
      </c>
      <c r="E395" s="1998">
        <f>IF(Construction!$F$31=Construction!$R$22,Oeko!BR395,Oeko!EE395)</f>
        <v>0.97753475503409837</v>
      </c>
      <c r="F395" s="1998">
        <f>IF(Construction!$F$31=Construction!$R$22,Oeko!BS395,Oeko!EF395)</f>
        <v>0.9780185835408608</v>
      </c>
      <c r="G395" s="1998">
        <f>IF(Construction!$F$31=Construction!$R$22,Oeko!BT395,Oeko!EG395)</f>
        <v>0.97850720242887834</v>
      </c>
      <c r="H395" s="1998">
        <f>IF(Construction!$F$31=Construction!$R$22,Oeko!BU395,Oeko!EH395)</f>
        <v>0.97953713439871903</v>
      </c>
      <c r="I395" s="1979">
        <f>IF(Construction!$F$31=Construction!$R$22,Oeko!BV395,Oeko!EI395)</f>
        <v>1.0058702360535219</v>
      </c>
      <c r="J395" s="1979">
        <f>IF(Construction!$F$31=Construction!$R$22,Oeko!BW395,Oeko!EJ395)</f>
        <v>1.0063637260834366</v>
      </c>
      <c r="K395" s="1979">
        <f>IF(Construction!$F$31=Construction!$R$22,Oeko!BX395,Oeko!EK395)</f>
        <v>1.0069432899557782</v>
      </c>
      <c r="L395" s="1979">
        <f>IF(Construction!$F$31=Construction!$R$22,Oeko!BY395,Oeko!EL395)</f>
        <v>1.007528592084282</v>
      </c>
      <c r="M395" s="1979">
        <f>IF(Construction!$F$31=Construction!$R$22,Oeko!BZ395,Oeko!EM395)</f>
        <v>1.0087623171590694</v>
      </c>
      <c r="N395" s="1998">
        <f>IF(Construction!$F$31=Construction!$R$22,Oeko!CA395,Oeko!EN395)</f>
        <v>0.76708711009148911</v>
      </c>
      <c r="O395" s="1998">
        <f>IF(Construction!$F$31=Construction!$R$22,Oeko!CB395,Oeko!EO395)</f>
        <v>0.76708711009148911</v>
      </c>
      <c r="P395" s="1998">
        <f>IF(Construction!$F$31=Construction!$R$22,Oeko!CC395,Oeko!EP395)</f>
        <v>0.76708711009148911</v>
      </c>
      <c r="Q395" s="1998">
        <f>IF(Construction!$F$31=Construction!$R$22,Oeko!CD395,Oeko!EQ395)</f>
        <v>0.76708711009148911</v>
      </c>
      <c r="R395" s="1998">
        <f>IF(Construction!$F$31=Construction!$R$22,Oeko!CE395,Oeko!ER395)</f>
        <v>0.76708711009148911</v>
      </c>
      <c r="S395" s="1979">
        <f>IF(Construction!$F$31=Construction!$R$22,Oeko!CF395,Oeko!ES395)</f>
        <v>1.0097169028501134</v>
      </c>
      <c r="T395" s="1979">
        <f>IF(Construction!$F$31=Construction!$R$22,Oeko!CG395,Oeko!ET395)</f>
        <v>1.0097169028501134</v>
      </c>
      <c r="U395" s="1979">
        <f>IF(Construction!$F$31=Construction!$R$22,Oeko!CH395,Oeko!EU395)</f>
        <v>1.0097169028501134</v>
      </c>
      <c r="V395" s="1979">
        <f>IF(Construction!$F$31=Construction!$R$22,Oeko!CI395,Oeko!EV395)</f>
        <v>1.0097169028501134</v>
      </c>
      <c r="W395" s="1979">
        <f>IF(Construction!$F$31=Construction!$R$22,Oeko!CJ395,Oeko!EW395)</f>
        <v>1.0097169028501134</v>
      </c>
      <c r="X395" s="1998">
        <f>IF(Construction!$F$31=Construction!$R$22,Oeko!CK395,Oeko!EX395)</f>
        <v>0.80759685131917947</v>
      </c>
      <c r="Y395" s="1998">
        <f>IF(Construction!$F$31=Construction!$R$22,Oeko!CL395,Oeko!EY395)</f>
        <v>0.80759685131917947</v>
      </c>
      <c r="Z395" s="1998">
        <f>IF(Construction!$F$31=Construction!$R$22,Oeko!CM395,Oeko!EZ395)</f>
        <v>0.80759685131917947</v>
      </c>
      <c r="AA395" s="1998">
        <f>IF(Construction!$F$31=Construction!$R$22,Oeko!CN395,Oeko!FA395)</f>
        <v>0.80759685131917947</v>
      </c>
      <c r="AB395" s="1998">
        <f>IF(Construction!$F$31=Construction!$R$22,Oeko!CO395,Oeko!FB395)</f>
        <v>0.80759685131917947</v>
      </c>
      <c r="AC395" s="1979">
        <f>IF(Construction!$F$31=Construction!$R$22,Oeko!CP395,Oeko!FC395)</f>
        <v>1.0074201803582687</v>
      </c>
      <c r="AD395" s="1979">
        <f>IF(Construction!$F$31=Construction!$R$22,Oeko!CQ395,Oeko!FD395)</f>
        <v>1.0074201803582687</v>
      </c>
      <c r="AE395" s="1979">
        <f>IF(Construction!$F$31=Construction!$R$22,Oeko!CR395,Oeko!FE395)</f>
        <v>1.0074201803582687</v>
      </c>
      <c r="AF395" s="1979">
        <f>IF(Construction!$F$31=Construction!$R$22,Oeko!CS395,Oeko!FF395)</f>
        <v>1.0074201803582687</v>
      </c>
      <c r="AG395" s="1979">
        <f>IF(Construction!$F$31=Construction!$R$22,Oeko!CT395,Oeko!FG395)</f>
        <v>1.0074201803582687</v>
      </c>
      <c r="AH395" s="1998">
        <f>IF(Construction!$F$31=Construction!$R$22,Oeko!CU395,Oeko!FH395)</f>
        <v>1.0111036083039722</v>
      </c>
      <c r="AI395" s="1998">
        <f>IF(Construction!$F$31=Construction!$R$22,Oeko!CV395,Oeko!FI395)</f>
        <v>1.0111036083039722</v>
      </c>
      <c r="AJ395" s="1998">
        <f>IF(Construction!$F$31=Construction!$R$22,Oeko!CW395,Oeko!FJ395)</f>
        <v>1.0111036083039722</v>
      </c>
      <c r="AK395" s="1998">
        <f>IF(Construction!$F$31=Construction!$R$22,Oeko!CX395,Oeko!FK395)</f>
        <v>1.0111036083039722</v>
      </c>
      <c r="AL395" s="1998">
        <f>IF(Construction!$F$31=Construction!$R$22,Oeko!CY395,Oeko!FL395)</f>
        <v>1.0111036083039722</v>
      </c>
      <c r="AM395" s="1979">
        <f>IF(Construction!$F$31=Construction!$R$22,Oeko!CZ395,Oeko!FM395)</f>
        <v>0.89210316925241728</v>
      </c>
      <c r="AN395" s="1979">
        <f>IF(Construction!$F$31=Construction!$R$22,Oeko!DA395,Oeko!FN395)</f>
        <v>0.89237338245990838</v>
      </c>
      <c r="AO395" s="1979">
        <f>IF(Construction!$F$31=Construction!$R$22,Oeko!DB395,Oeko!FO395)</f>
        <v>0.89269072587800857</v>
      </c>
      <c r="AP395" s="1979">
        <f>IF(Construction!$F$31=Construction!$R$22,Oeko!DC395,Oeko!FP395)</f>
        <v>0.89301121131014904</v>
      </c>
      <c r="AQ395" s="1979">
        <f>IF(Construction!$F$31=Construction!$R$22,Oeko!DD395,Oeko!FQ395)</f>
        <v>0.89368674432887707</v>
      </c>
      <c r="AR395" s="1998">
        <f>IF(Construction!$F$31=Construction!$R$22,Oeko!DE395,Oeko!FR395)</f>
        <v>8.1739797065097015</v>
      </c>
      <c r="AS395" s="1998">
        <f>IF(Construction!$F$31=Construction!$R$22,Oeko!DF395,Oeko!FS395)</f>
        <v>8.1739797065097015</v>
      </c>
      <c r="AT395" s="1998">
        <f>IF(Construction!$F$31=Construction!$R$22,Oeko!DG395,Oeko!FT395)</f>
        <v>8.1739797065097015</v>
      </c>
      <c r="AU395" s="1998">
        <f>IF(Construction!$F$31=Construction!$R$22,Oeko!DH395,Oeko!FU395)</f>
        <v>8.1739797065097015</v>
      </c>
      <c r="AV395" s="1998">
        <f>IF(Construction!$F$31=Construction!$R$22,Oeko!DI395,Oeko!FV395)</f>
        <v>8.1739797065097015</v>
      </c>
      <c r="AW395" s="1979">
        <f>IF(Construction!$F$31=Construction!$R$22,Oeko!DJ395,Oeko!FW395)</f>
        <v>8.1557547199695239</v>
      </c>
      <c r="AX395" s="1979">
        <f>IF(Construction!$F$31=Construction!$R$22,Oeko!DK395,Oeko!FX395)</f>
        <v>8.1557547199695239</v>
      </c>
      <c r="AY395" s="1979">
        <f>IF(Construction!$F$31=Construction!$R$22,Oeko!DL395,Oeko!FY395)</f>
        <v>8.1557547199695239</v>
      </c>
      <c r="AZ395" s="1979">
        <f>IF(Construction!$F$31=Construction!$R$22,Oeko!DM395,Oeko!FZ395)</f>
        <v>8.1557547199695239</v>
      </c>
      <c r="BA395" s="1979">
        <f>IF(Construction!$F$31=Construction!$R$22,Oeko!DN395,Oeko!GA395)</f>
        <v>8.1557547199695239</v>
      </c>
      <c r="BB395" s="1998">
        <f>IF(Construction!$F$31=Construction!$R$22,Oeko!DO395,Oeko!GB395)</f>
        <v>0.98731136868930891</v>
      </c>
      <c r="BC395" s="1998">
        <f>IF(Construction!$F$31=Construction!$R$22,Oeko!DP395,Oeko!GC395)</f>
        <v>0.98731136868930891</v>
      </c>
      <c r="BD395" s="1998">
        <f>IF(Construction!$F$31=Construction!$R$22,Oeko!DQ395,Oeko!GD395)</f>
        <v>0.98731136868930891</v>
      </c>
      <c r="BE395" s="1998">
        <f>IF(Construction!$F$31=Construction!$R$22,Oeko!DR395,Oeko!GE395)</f>
        <v>0.98731136868930891</v>
      </c>
      <c r="BF395" s="1998">
        <f>IF(Construction!$F$31=Construction!$R$22,Oeko!DS395,Oeko!GF395)</f>
        <v>0.98731136868930891</v>
      </c>
      <c r="BG395" s="1979">
        <f>IF(Construction!$F$31=Construction!$R$22,Oeko!DT395,Oeko!GG395)</f>
        <v>0.9864230175402674</v>
      </c>
      <c r="BH395" s="1979">
        <f>IF(Construction!$F$31=Construction!$R$22,Oeko!DU395,Oeko!GH395)</f>
        <v>0.9864230175402674</v>
      </c>
      <c r="BI395" s="1979">
        <f>IF(Construction!$F$31=Construction!$R$22,Oeko!DV395,Oeko!GI395)</f>
        <v>0.9864230175402674</v>
      </c>
      <c r="BJ395" s="1979">
        <f>IF(Construction!$F$31=Construction!$R$22,Oeko!DW395,Oeko!GJ395)</f>
        <v>0.9864230175402674</v>
      </c>
      <c r="BK395" s="2021">
        <f>IF(Construction!$F$31=Construction!$R$22,Oeko!DX395,Oeko!GK395)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IF(Construction!$F$31=Construction!$R$22,Oeko!BQ396,Oeko!ED396)</f>
        <v>0.93873332434406098</v>
      </c>
      <c r="E396" s="1998">
        <f>IF(Construction!$F$31=Construction!$R$22,Oeko!BR396,Oeko!EE396)</f>
        <v>0.93918728253264605</v>
      </c>
      <c r="F396" s="1998">
        <f>IF(Construction!$F$31=Construction!$R$22,Oeko!BS396,Oeko!EF396)</f>
        <v>0.93972041947505414</v>
      </c>
      <c r="G396" s="1998">
        <f>IF(Construction!$F$31=Construction!$R$22,Oeko!BT396,Oeko!EG396)</f>
        <v>0.94025883500105045</v>
      </c>
      <c r="H396" s="1998">
        <f>IF(Construction!$F$31=Construction!$R$22,Oeko!BU396,Oeko!EH396)</f>
        <v>0.9413937304725134</v>
      </c>
      <c r="I396" s="1979">
        <f>IF(Construction!$F$31=Construction!$R$22,Oeko!BV396,Oeko!EI396)</f>
        <v>1.0063976541850996</v>
      </c>
      <c r="J396" s="1979">
        <f>IF(Construction!$F$31=Construction!$R$22,Oeko!BW396,Oeko!EJ396)</f>
        <v>1.0069354823961638</v>
      </c>
      <c r="K396" s="1979">
        <f>IF(Construction!$F$31=Construction!$R$22,Oeko!BX396,Oeko!EK396)</f>
        <v>1.0075671178533436</v>
      </c>
      <c r="L396" s="1979">
        <f>IF(Construction!$F$31=Construction!$R$22,Oeko!BY396,Oeko!EL396)</f>
        <v>1.0082050071269313</v>
      </c>
      <c r="M396" s="1979">
        <f>IF(Construction!$F$31=Construction!$R$22,Oeko!BZ396,Oeko!EM396)</f>
        <v>1.0095495776545915</v>
      </c>
      <c r="N396" s="1998">
        <f>IF(Construction!$F$31=Construction!$R$22,Oeko!CA396,Oeko!EN396)</f>
        <v>0.57531533256861678</v>
      </c>
      <c r="O396" s="1998">
        <f>IF(Construction!$F$31=Construction!$R$22,Oeko!CB396,Oeko!EO396)</f>
        <v>0.57531533256861678</v>
      </c>
      <c r="P396" s="1998">
        <f>IF(Construction!$F$31=Construction!$R$22,Oeko!CC396,Oeko!EP396)</f>
        <v>0.57531533256861678</v>
      </c>
      <c r="Q396" s="1998">
        <f>IF(Construction!$F$31=Construction!$R$22,Oeko!CD396,Oeko!EQ396)</f>
        <v>0.57531533256861678</v>
      </c>
      <c r="R396" s="1998">
        <f>IF(Construction!$F$31=Construction!$R$22,Oeko!CE396,Oeko!ER396)</f>
        <v>0.57531533256861678</v>
      </c>
      <c r="S396" s="1979">
        <f>IF(Construction!$F$31=Construction!$R$22,Oeko!CF396,Oeko!ES396)</f>
        <v>0.75894396739612724</v>
      </c>
      <c r="T396" s="1979">
        <f>IF(Construction!$F$31=Construction!$R$22,Oeko!CG396,Oeko!ET396)</f>
        <v>0.75894396739612724</v>
      </c>
      <c r="U396" s="1979">
        <f>IF(Construction!$F$31=Construction!$R$22,Oeko!CH396,Oeko!EU396)</f>
        <v>0.75894396739612724</v>
      </c>
      <c r="V396" s="1979">
        <f>IF(Construction!$F$31=Construction!$R$22,Oeko!CI396,Oeko!EV396)</f>
        <v>0.75894396739612724</v>
      </c>
      <c r="W396" s="1979">
        <f>IF(Construction!$F$31=Construction!$R$22,Oeko!CJ396,Oeko!EW396)</f>
        <v>0.75894396739612724</v>
      </c>
      <c r="X396" s="1998">
        <f>IF(Construction!$F$31=Construction!$R$22,Oeko!CK396,Oeko!EX396)</f>
        <v>0.60683716618726169</v>
      </c>
      <c r="Y396" s="1998">
        <f>IF(Construction!$F$31=Construction!$R$22,Oeko!CL396,Oeko!EY396)</f>
        <v>0.60683716618726169</v>
      </c>
      <c r="Z396" s="1998">
        <f>IF(Construction!$F$31=Construction!$R$22,Oeko!CM396,Oeko!EZ396)</f>
        <v>0.60683716618726169</v>
      </c>
      <c r="AA396" s="1998">
        <f>IF(Construction!$F$31=Construction!$R$22,Oeko!CN396,Oeko!FA396)</f>
        <v>0.60683716618726169</v>
      </c>
      <c r="AB396" s="1998">
        <f>IF(Construction!$F$31=Construction!$R$22,Oeko!CO396,Oeko!FB396)</f>
        <v>0.60683716618726169</v>
      </c>
      <c r="AC396" s="1979">
        <f>IF(Construction!$F$31=Construction!$R$22,Oeko!CP396,Oeko!FC396)</f>
        <v>1.0107929896120271</v>
      </c>
      <c r="AD396" s="1979">
        <f>IF(Construction!$F$31=Construction!$R$22,Oeko!CQ396,Oeko!FD396)</f>
        <v>1.0107929896120271</v>
      </c>
      <c r="AE396" s="1979">
        <f>IF(Construction!$F$31=Construction!$R$22,Oeko!CR396,Oeko!FE396)</f>
        <v>1.0107929896120271</v>
      </c>
      <c r="AF396" s="1979">
        <f>IF(Construction!$F$31=Construction!$R$22,Oeko!CS396,Oeko!FF396)</f>
        <v>1.0107929896120271</v>
      </c>
      <c r="AG396" s="1979">
        <f>IF(Construction!$F$31=Construction!$R$22,Oeko!CT396,Oeko!FG396)</f>
        <v>1.0107929896120271</v>
      </c>
      <c r="AH396" s="1998">
        <f>IF(Construction!$F$31=Construction!$R$22,Oeko!CU396,Oeko!FH396)</f>
        <v>1.0172722795839573</v>
      </c>
      <c r="AI396" s="1998">
        <f>IF(Construction!$F$31=Construction!$R$22,Oeko!CV396,Oeko!FI396)</f>
        <v>1.0172722795839573</v>
      </c>
      <c r="AJ396" s="1998">
        <f>IF(Construction!$F$31=Construction!$R$22,Oeko!CW396,Oeko!FJ396)</f>
        <v>1.0172722795839573</v>
      </c>
      <c r="AK396" s="1998">
        <f>IF(Construction!$F$31=Construction!$R$22,Oeko!CX396,Oeko!FK396)</f>
        <v>1.0172722795839573</v>
      </c>
      <c r="AL396" s="1998">
        <f>IF(Construction!$F$31=Construction!$R$22,Oeko!CY396,Oeko!FL396)</f>
        <v>1.0172722795839573</v>
      </c>
      <c r="AM396" s="1979">
        <f>IF(Construction!$F$31=Construction!$R$22,Oeko!CZ396,Oeko!FM396)</f>
        <v>0.89302153507056825</v>
      </c>
      <c r="AN396" s="1979">
        <f>IF(Construction!$F$31=Construction!$R$22,Oeko!DA396,Oeko!FN396)</f>
        <v>0.89336895205162825</v>
      </c>
      <c r="AO396" s="1979">
        <f>IF(Construction!$F$31=Construction!$R$22,Oeko!DB396,Oeko!FO396)</f>
        <v>0.89377696501775694</v>
      </c>
      <c r="AP396" s="1979">
        <f>IF(Construction!$F$31=Construction!$R$22,Oeko!DC396,Oeko!FP396)</f>
        <v>0.8941890177162235</v>
      </c>
      <c r="AQ396" s="1979">
        <f>IF(Construction!$F$31=Construction!$R$22,Oeko!DD396,Oeko!FQ396)</f>
        <v>0.89505756016887372</v>
      </c>
      <c r="AR396" s="1998">
        <f>IF(Construction!$F$31=Construction!$R$22,Oeko!DE396,Oeko!FR396)</f>
        <v>8.2342226408669621</v>
      </c>
      <c r="AS396" s="1998">
        <f>IF(Construction!$F$31=Construction!$R$22,Oeko!DF396,Oeko!FS396)</f>
        <v>8.2342226408669621</v>
      </c>
      <c r="AT396" s="1998">
        <f>IF(Construction!$F$31=Construction!$R$22,Oeko!DG396,Oeko!FT396)</f>
        <v>8.2342226408669621</v>
      </c>
      <c r="AU396" s="1998">
        <f>IF(Construction!$F$31=Construction!$R$22,Oeko!DH396,Oeko!FU396)</f>
        <v>8.2342226408669621</v>
      </c>
      <c r="AV396" s="1998">
        <f>IF(Construction!$F$31=Construction!$R$22,Oeko!DI396,Oeko!FV396)</f>
        <v>8.2342226408669621</v>
      </c>
      <c r="AW396" s="1979">
        <f>IF(Construction!$F$31=Construction!$R$22,Oeko!DJ396,Oeko!FW396)</f>
        <v>8.2294638518492125</v>
      </c>
      <c r="AX396" s="1979">
        <f>IF(Construction!$F$31=Construction!$R$22,Oeko!DK396,Oeko!FX396)</f>
        <v>8.2294638518492125</v>
      </c>
      <c r="AY396" s="1979">
        <f>IF(Construction!$F$31=Construction!$R$22,Oeko!DL396,Oeko!FY396)</f>
        <v>8.2294638518492125</v>
      </c>
      <c r="AZ396" s="1979">
        <f>IF(Construction!$F$31=Construction!$R$22,Oeko!DM396,Oeko!FZ396)</f>
        <v>8.2294638518492125</v>
      </c>
      <c r="BA396" s="1979">
        <f>IF(Construction!$F$31=Construction!$R$22,Oeko!DN396,Oeko!GA396)</f>
        <v>8.2294638518492125</v>
      </c>
      <c r="BB396" s="1998">
        <f>IF(Construction!$F$31=Construction!$R$22,Oeko!DO396,Oeko!GB396)</f>
        <v>0.98328217099480908</v>
      </c>
      <c r="BC396" s="1998">
        <f>IF(Construction!$F$31=Construction!$R$22,Oeko!DP396,Oeko!GC396)</f>
        <v>0.98328217099480908</v>
      </c>
      <c r="BD396" s="1998">
        <f>IF(Construction!$F$31=Construction!$R$22,Oeko!DQ396,Oeko!GD396)</f>
        <v>0.98328217099480908</v>
      </c>
      <c r="BE396" s="1998">
        <f>IF(Construction!$F$31=Construction!$R$22,Oeko!DR396,Oeko!GE396)</f>
        <v>0.98328217099480908</v>
      </c>
      <c r="BF396" s="1998">
        <f>IF(Construction!$F$31=Construction!$R$22,Oeko!DS396,Oeko!GF396)</f>
        <v>0.98328217099480908</v>
      </c>
      <c r="BG396" s="1979">
        <f>IF(Construction!$F$31=Construction!$R$22,Oeko!DT396,Oeko!GG396)</f>
        <v>0.98382622805204278</v>
      </c>
      <c r="BH396" s="1979">
        <f>IF(Construction!$F$31=Construction!$R$22,Oeko!DU396,Oeko!GH396)</f>
        <v>0.98382622805204278</v>
      </c>
      <c r="BI396" s="1979">
        <f>IF(Construction!$F$31=Construction!$R$22,Oeko!DV396,Oeko!GI396)</f>
        <v>0.98382622805204278</v>
      </c>
      <c r="BJ396" s="1979">
        <f>IF(Construction!$F$31=Construction!$R$22,Oeko!DW396,Oeko!GJ396)</f>
        <v>0.98382622805204278</v>
      </c>
      <c r="BK396" s="2021">
        <f>IF(Construction!$F$31=Construction!$R$22,Oeko!DX396,Oeko!GK396)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Proportion de fenêtres </v>
      </c>
      <c r="D397" s="1998">
        <f>IF(Construction!$F$31=Construction!$R$22,Oeko!BQ397,Oeko!ED397)</f>
        <v>0</v>
      </c>
      <c r="E397" s="1998">
        <f>IF(Construction!$F$31=Construction!$R$22,Oeko!BR397,Oeko!EE397)</f>
        <v>0</v>
      </c>
      <c r="F397" s="1998">
        <f>IF(Construction!$F$31=Construction!$R$22,Oeko!BS397,Oeko!EF397)</f>
        <v>0</v>
      </c>
      <c r="G397" s="1998">
        <f>IF(Construction!$F$31=Construction!$R$22,Oeko!BT397,Oeko!EG397)</f>
        <v>0</v>
      </c>
      <c r="H397" s="1998">
        <f>IF(Construction!$F$31=Construction!$R$22,Oeko!BU397,Oeko!EH397)</f>
        <v>0</v>
      </c>
      <c r="I397" s="1979">
        <f>IF(Construction!$F$31=Construction!$R$22,Oeko!BV397,Oeko!EI397)</f>
        <v>0</v>
      </c>
      <c r="J397" s="1979">
        <f>IF(Construction!$F$31=Construction!$R$22,Oeko!BW397,Oeko!EJ397)</f>
        <v>0</v>
      </c>
      <c r="K397" s="1979">
        <f>IF(Construction!$F$31=Construction!$R$22,Oeko!BX397,Oeko!EK397)</f>
        <v>0</v>
      </c>
      <c r="L397" s="1979">
        <f>IF(Construction!$F$31=Construction!$R$22,Oeko!BY397,Oeko!EL397)</f>
        <v>0</v>
      </c>
      <c r="M397" s="1979">
        <f>IF(Construction!$F$31=Construction!$R$22,Oeko!BZ397,Oeko!EM397)</f>
        <v>0</v>
      </c>
      <c r="N397" s="1998">
        <f>IF(Construction!$F$31=Construction!$R$22,Oeko!CA397,Oeko!EN397)</f>
        <v>0</v>
      </c>
      <c r="O397" s="1998">
        <f>IF(Construction!$F$31=Construction!$R$22,Oeko!CB397,Oeko!EO397)</f>
        <v>0</v>
      </c>
      <c r="P397" s="1998">
        <f>IF(Construction!$F$31=Construction!$R$22,Oeko!CC397,Oeko!EP397)</f>
        <v>0</v>
      </c>
      <c r="Q397" s="1998">
        <f>IF(Construction!$F$31=Construction!$R$22,Oeko!CD397,Oeko!EQ397)</f>
        <v>0</v>
      </c>
      <c r="R397" s="1998">
        <f>IF(Construction!$F$31=Construction!$R$22,Oeko!CE397,Oeko!ER397)</f>
        <v>0</v>
      </c>
      <c r="S397" s="1979">
        <f>IF(Construction!$F$31=Construction!$R$22,Oeko!CF397,Oeko!ES397)</f>
        <v>0</v>
      </c>
      <c r="T397" s="1979">
        <f>IF(Construction!$F$31=Construction!$R$22,Oeko!CG397,Oeko!ET397)</f>
        <v>0</v>
      </c>
      <c r="U397" s="1979">
        <f>IF(Construction!$F$31=Construction!$R$22,Oeko!CH397,Oeko!EU397)</f>
        <v>0</v>
      </c>
      <c r="V397" s="1979">
        <f>IF(Construction!$F$31=Construction!$R$22,Oeko!CI397,Oeko!EV397)</f>
        <v>0</v>
      </c>
      <c r="W397" s="1979">
        <f>IF(Construction!$F$31=Construction!$R$22,Oeko!CJ397,Oeko!EW397)</f>
        <v>0</v>
      </c>
      <c r="X397" s="1998">
        <f>IF(Construction!$F$31=Construction!$R$22,Oeko!CK397,Oeko!EX397)</f>
        <v>1.0078139042140133</v>
      </c>
      <c r="Y397" s="1998">
        <f>IF(Construction!$F$31=Construction!$R$22,Oeko!CL397,Oeko!EY397)</f>
        <v>1.0078139042140133</v>
      </c>
      <c r="Z397" s="1998">
        <f>IF(Construction!$F$31=Construction!$R$22,Oeko!CM397,Oeko!EZ397)</f>
        <v>1.0078139042140133</v>
      </c>
      <c r="AA397" s="1998">
        <f>IF(Construction!$F$31=Construction!$R$22,Oeko!CN397,Oeko!FA397)</f>
        <v>1.0078139042140133</v>
      </c>
      <c r="AB397" s="1998">
        <f>IF(Construction!$F$31=Construction!$R$22,Oeko!CO397,Oeko!FB397)</f>
        <v>1.0078139042140133</v>
      </c>
      <c r="AC397" s="1979">
        <f>IF(Construction!$F$31=Construction!$R$22,Oeko!CP397,Oeko!FC397)</f>
        <v>0</v>
      </c>
      <c r="AD397" s="1979">
        <f>IF(Construction!$F$31=Construction!$R$22,Oeko!CQ397,Oeko!FD397)</f>
        <v>0</v>
      </c>
      <c r="AE397" s="1979">
        <f>IF(Construction!$F$31=Construction!$R$22,Oeko!CR397,Oeko!FE397)</f>
        <v>0</v>
      </c>
      <c r="AF397" s="1979">
        <f>IF(Construction!$F$31=Construction!$R$22,Oeko!CS397,Oeko!FF397)</f>
        <v>0</v>
      </c>
      <c r="AG397" s="1979">
        <f>IF(Construction!$F$31=Construction!$R$22,Oeko!CT397,Oeko!FG397)</f>
        <v>0</v>
      </c>
      <c r="AH397" s="1998">
        <f>IF(Construction!$F$31=Construction!$R$22,Oeko!CU397,Oeko!FH397)</f>
        <v>1.0193872525942376</v>
      </c>
      <c r="AI397" s="1998">
        <f>IF(Construction!$F$31=Construction!$R$22,Oeko!CV397,Oeko!FI397)</f>
        <v>1.0193872525942376</v>
      </c>
      <c r="AJ397" s="1998">
        <f>IF(Construction!$F$31=Construction!$R$22,Oeko!CW397,Oeko!FJ397)</f>
        <v>1.0193872525942376</v>
      </c>
      <c r="AK397" s="1998">
        <f>IF(Construction!$F$31=Construction!$R$22,Oeko!CX397,Oeko!FK397)</f>
        <v>1.0193872525942376</v>
      </c>
      <c r="AL397" s="1998">
        <f>IF(Construction!$F$31=Construction!$R$22,Oeko!CY397,Oeko!FL397)</f>
        <v>1.0193872525942376</v>
      </c>
      <c r="AM397" s="1979">
        <f>IF(Construction!$F$31=Construction!$R$22,Oeko!CZ397,Oeko!FM397)</f>
        <v>1.0032142803635282</v>
      </c>
      <c r="AN397" s="1979">
        <f>IF(Construction!$F$31=Construction!$R$22,Oeko!DA397,Oeko!FN397)</f>
        <v>1.0034844935710194</v>
      </c>
      <c r="AO397" s="1979">
        <f>IF(Construction!$F$31=Construction!$R$22,Oeko!DB397,Oeko!FO397)</f>
        <v>1.0038018369891195</v>
      </c>
      <c r="AP397" s="1979">
        <f>IF(Construction!$F$31=Construction!$R$22,Oeko!DC397,Oeko!FP397)</f>
        <v>1.0041223224212601</v>
      </c>
      <c r="AQ397" s="1979">
        <f>IF(Construction!$F$31=Construction!$R$22,Oeko!DD397,Oeko!FQ397)</f>
        <v>1.0047978554399881</v>
      </c>
      <c r="AR397" s="1998">
        <f>IF(Construction!$F$31=Construction!$R$22,Oeko!DE397,Oeko!FR397)</f>
        <v>8.1183708440260762</v>
      </c>
      <c r="AS397" s="1998">
        <f>IF(Construction!$F$31=Construction!$R$22,Oeko!DF397,Oeko!FS397)</f>
        <v>8.1183708440260762</v>
      </c>
      <c r="AT397" s="1998">
        <f>IF(Construction!$F$31=Construction!$R$22,Oeko!DG397,Oeko!FT397)</f>
        <v>8.1183708440260762</v>
      </c>
      <c r="AU397" s="1998">
        <f>IF(Construction!$F$31=Construction!$R$22,Oeko!DH397,Oeko!FU397)</f>
        <v>8.1183708440260762</v>
      </c>
      <c r="AV397" s="1998">
        <f>IF(Construction!$F$31=Construction!$R$22,Oeko!DI397,Oeko!FV397)</f>
        <v>8.1183708440260762</v>
      </c>
      <c r="AW397" s="1979">
        <f>IF(Construction!$F$31=Construction!$R$22,Oeko!DJ397,Oeko!FW397)</f>
        <v>8.1051110307188523</v>
      </c>
      <c r="AX397" s="1979">
        <f>IF(Construction!$F$31=Construction!$R$22,Oeko!DK397,Oeko!FX397)</f>
        <v>8.1051110307188523</v>
      </c>
      <c r="AY397" s="1979">
        <f>IF(Construction!$F$31=Construction!$R$22,Oeko!DL397,Oeko!FY397)</f>
        <v>8.1051110307188523</v>
      </c>
      <c r="AZ397" s="1979">
        <f>IF(Construction!$F$31=Construction!$R$22,Oeko!DM397,Oeko!FZ397)</f>
        <v>8.1051110307188523</v>
      </c>
      <c r="BA397" s="1979">
        <f>IF(Construction!$F$31=Construction!$R$22,Oeko!DN397,Oeko!GA397)</f>
        <v>8.1051110307188523</v>
      </c>
      <c r="BB397" s="1998">
        <f>IF(Construction!$F$31=Construction!$R$22,Oeko!DO397,Oeko!GB397)</f>
        <v>0.98777627611559748</v>
      </c>
      <c r="BC397" s="1998">
        <f>IF(Construction!$F$31=Construction!$R$22,Oeko!DP397,Oeko!GC397)</f>
        <v>0.98777627611559748</v>
      </c>
      <c r="BD397" s="1998">
        <f>IF(Construction!$F$31=Construction!$R$22,Oeko!DQ397,Oeko!GD397)</f>
        <v>0.98777627611559748</v>
      </c>
      <c r="BE397" s="1998">
        <f>IF(Construction!$F$31=Construction!$R$22,Oeko!DR397,Oeko!GE397)</f>
        <v>0.98777627611559748</v>
      </c>
      <c r="BF397" s="1998">
        <f>IF(Construction!$F$31=Construction!$R$22,Oeko!DS397,Oeko!GF397)</f>
        <v>0.98777627611559748</v>
      </c>
      <c r="BG397" s="1979">
        <f>IF(Construction!$F$31=Construction!$R$22,Oeko!DT397,Oeko!GG397)</f>
        <v>0.99150369262592464</v>
      </c>
      <c r="BH397" s="1979">
        <f>IF(Construction!$F$31=Construction!$R$22,Oeko!DU397,Oeko!GH397)</f>
        <v>0.99150369262592464</v>
      </c>
      <c r="BI397" s="1979">
        <f>IF(Construction!$F$31=Construction!$R$22,Oeko!DV397,Oeko!GI397)</f>
        <v>0.99150369262592464</v>
      </c>
      <c r="BJ397" s="1979">
        <f>IF(Construction!$F$31=Construction!$R$22,Oeko!DW397,Oeko!GJ397)</f>
        <v>0.99150369262592464</v>
      </c>
      <c r="BK397" s="2021">
        <f>IF(Construction!$F$31=Construction!$R$22,Oeko!DX397,Oeko!GK397)</f>
        <v>0.99150369262592464</v>
      </c>
      <c r="BN397" s="2022"/>
      <c r="BO397" s="2">
        <v>13</v>
      </c>
      <c r="BP397" s="2" t="str">
        <f>CONCATENATE($U$8," ",GV$7)</f>
        <v xml:space="preserve">Proportion de fenêtres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Proportion de fenêtres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Proportion de fenêtres </v>
      </c>
      <c r="D398" s="1998">
        <f>IF(Construction!$F$31=Construction!$R$22,Oeko!BQ398,Oeko!ED398)</f>
        <v>0</v>
      </c>
      <c r="E398" s="1998">
        <f>IF(Construction!$F$31=Construction!$R$22,Oeko!BR398,Oeko!EE398)</f>
        <v>0</v>
      </c>
      <c r="F398" s="1998">
        <f>IF(Construction!$F$31=Construction!$R$22,Oeko!BS398,Oeko!EF398)</f>
        <v>0</v>
      </c>
      <c r="G398" s="1998">
        <f>IF(Construction!$F$31=Construction!$R$22,Oeko!BT398,Oeko!EG398)</f>
        <v>0</v>
      </c>
      <c r="H398" s="1998">
        <f>IF(Construction!$F$31=Construction!$R$22,Oeko!BU398,Oeko!EH398)</f>
        <v>0</v>
      </c>
      <c r="I398" s="1979">
        <f>IF(Construction!$F$31=Construction!$R$22,Oeko!BV398,Oeko!EI398)</f>
        <v>0</v>
      </c>
      <c r="J398" s="1979">
        <f>IF(Construction!$F$31=Construction!$R$22,Oeko!BW398,Oeko!EJ398)</f>
        <v>0</v>
      </c>
      <c r="K398" s="1979">
        <f>IF(Construction!$F$31=Construction!$R$22,Oeko!BX398,Oeko!EK398)</f>
        <v>0</v>
      </c>
      <c r="L398" s="1979">
        <f>IF(Construction!$F$31=Construction!$R$22,Oeko!BY398,Oeko!EL398)</f>
        <v>0</v>
      </c>
      <c r="M398" s="1979">
        <f>IF(Construction!$F$31=Construction!$R$22,Oeko!BZ398,Oeko!EM398)</f>
        <v>0</v>
      </c>
      <c r="N398" s="1998">
        <f>IF(Construction!$F$31=Construction!$R$22,Oeko!CA398,Oeko!EN398)</f>
        <v>0</v>
      </c>
      <c r="O398" s="1998">
        <f>IF(Construction!$F$31=Construction!$R$22,Oeko!CB398,Oeko!EO398)</f>
        <v>0</v>
      </c>
      <c r="P398" s="1998">
        <f>IF(Construction!$F$31=Construction!$R$22,Oeko!CC398,Oeko!EP398)</f>
        <v>0</v>
      </c>
      <c r="Q398" s="1998">
        <f>IF(Construction!$F$31=Construction!$R$22,Oeko!CD398,Oeko!EQ398)</f>
        <v>0</v>
      </c>
      <c r="R398" s="1998">
        <f>IF(Construction!$F$31=Construction!$R$22,Oeko!CE398,Oeko!ER398)</f>
        <v>0</v>
      </c>
      <c r="S398" s="1979">
        <f>IF(Construction!$F$31=Construction!$R$22,Oeko!CF398,Oeko!ES398)</f>
        <v>0</v>
      </c>
      <c r="T398" s="1979">
        <f>IF(Construction!$F$31=Construction!$R$22,Oeko!CG398,Oeko!ET398)</f>
        <v>0</v>
      </c>
      <c r="U398" s="1979">
        <f>IF(Construction!$F$31=Construction!$R$22,Oeko!CH398,Oeko!EU398)</f>
        <v>0</v>
      </c>
      <c r="V398" s="1979">
        <f>IF(Construction!$F$31=Construction!$R$22,Oeko!CI398,Oeko!EV398)</f>
        <v>0</v>
      </c>
      <c r="W398" s="1979">
        <f>IF(Construction!$F$31=Construction!$R$22,Oeko!CJ398,Oeko!EW398)</f>
        <v>0</v>
      </c>
      <c r="X398" s="1998">
        <f>IF(Construction!$F$31=Construction!$R$22,Oeko!CK398,Oeko!EX398)</f>
        <v>1.0070325137926119</v>
      </c>
      <c r="Y398" s="1998">
        <f>IF(Construction!$F$31=Construction!$R$22,Oeko!CL398,Oeko!EY398)</f>
        <v>1.0070325137926119</v>
      </c>
      <c r="Z398" s="1998">
        <f>IF(Construction!$F$31=Construction!$R$22,Oeko!CM398,Oeko!EZ398)</f>
        <v>1.0070325137926119</v>
      </c>
      <c r="AA398" s="1998">
        <f>IF(Construction!$F$31=Construction!$R$22,Oeko!CN398,Oeko!FA398)</f>
        <v>1.0070325137926119</v>
      </c>
      <c r="AB398" s="1998">
        <f>IF(Construction!$F$31=Construction!$R$22,Oeko!CO398,Oeko!FB398)</f>
        <v>1.0070325137926119</v>
      </c>
      <c r="AC398" s="1979">
        <f>IF(Construction!$F$31=Construction!$R$22,Oeko!CP398,Oeko!FC398)</f>
        <v>0</v>
      </c>
      <c r="AD398" s="1979">
        <f>IF(Construction!$F$31=Construction!$R$22,Oeko!CQ398,Oeko!FD398)</f>
        <v>0</v>
      </c>
      <c r="AE398" s="1979">
        <f>IF(Construction!$F$31=Construction!$R$22,Oeko!CR398,Oeko!FE398)</f>
        <v>0</v>
      </c>
      <c r="AF398" s="1979">
        <f>IF(Construction!$F$31=Construction!$R$22,Oeko!CS398,Oeko!FF398)</f>
        <v>0</v>
      </c>
      <c r="AG398" s="1979">
        <f>IF(Construction!$F$31=Construction!$R$22,Oeko!CT398,Oeko!FG398)</f>
        <v>0</v>
      </c>
      <c r="AH398" s="1998">
        <f>IF(Construction!$F$31=Construction!$R$22,Oeko!CU398,Oeko!FH398)</f>
        <v>1.0174485273348139</v>
      </c>
      <c r="AI398" s="1998">
        <f>IF(Construction!$F$31=Construction!$R$22,Oeko!CV398,Oeko!FI398)</f>
        <v>1.0174485273348139</v>
      </c>
      <c r="AJ398" s="1998">
        <f>IF(Construction!$F$31=Construction!$R$22,Oeko!CW398,Oeko!FJ398)</f>
        <v>1.0174485273348139</v>
      </c>
      <c r="AK398" s="1998">
        <f>IF(Construction!$F$31=Construction!$R$22,Oeko!CX398,Oeko!FK398)</f>
        <v>1.0174485273348139</v>
      </c>
      <c r="AL398" s="1998">
        <f>IF(Construction!$F$31=Construction!$R$22,Oeko!CY398,Oeko!FL398)</f>
        <v>1.0174485273348139</v>
      </c>
      <c r="AM398" s="1979">
        <f>IF(Construction!$F$31=Construction!$R$22,Oeko!CZ398,Oeko!FM398)</f>
        <v>1.0028928523271754</v>
      </c>
      <c r="AN398" s="1979">
        <f>IF(Construction!$F$31=Construction!$R$22,Oeko!DA398,Oeko!FN398)</f>
        <v>1.0031360442139174</v>
      </c>
      <c r="AO398" s="1979">
        <f>IF(Construction!$F$31=Construction!$R$22,Oeko!DB398,Oeko!FO398)</f>
        <v>1.0034216532902076</v>
      </c>
      <c r="AP398" s="1979">
        <f>IF(Construction!$F$31=Construction!$R$22,Oeko!DC398,Oeko!FP398)</f>
        <v>1.0037100901791343</v>
      </c>
      <c r="AQ398" s="1979">
        <f>IF(Construction!$F$31=Construction!$R$22,Oeko!DD398,Oeko!FQ398)</f>
        <v>1.0043180698959893</v>
      </c>
      <c r="AR398" s="1998">
        <f>IF(Construction!$F$31=Construction!$R$22,Oeko!DE398,Oeko!FR398)</f>
        <v>8.1114197362156233</v>
      </c>
      <c r="AS398" s="1998">
        <f>IF(Construction!$F$31=Construction!$R$22,Oeko!DF398,Oeko!FS398)</f>
        <v>8.1114197362156233</v>
      </c>
      <c r="AT398" s="1998">
        <f>IF(Construction!$F$31=Construction!$R$22,Oeko!DG398,Oeko!FT398)</f>
        <v>8.1114197362156233</v>
      </c>
      <c r="AU398" s="1998">
        <f>IF(Construction!$F$31=Construction!$R$22,Oeko!DH398,Oeko!FU398)</f>
        <v>8.1114197362156233</v>
      </c>
      <c r="AV398" s="1998">
        <f>IF(Construction!$F$31=Construction!$R$22,Oeko!DI398,Oeko!FV398)</f>
        <v>8.1114197362156233</v>
      </c>
      <c r="AW398" s="1979">
        <f>IF(Construction!$F$31=Construction!$R$22,Oeko!DJ398,Oeko!FW398)</f>
        <v>8.0978905443306406</v>
      </c>
      <c r="AX398" s="1979">
        <f>IF(Construction!$F$31=Construction!$R$22,Oeko!DK398,Oeko!FX398)</f>
        <v>8.0978905443306406</v>
      </c>
      <c r="AY398" s="1979">
        <f>IF(Construction!$F$31=Construction!$R$22,Oeko!DL398,Oeko!FY398)</f>
        <v>8.0978905443306406</v>
      </c>
      <c r="AZ398" s="1979">
        <f>IF(Construction!$F$31=Construction!$R$22,Oeko!DM398,Oeko!FZ398)</f>
        <v>8.0978905443306406</v>
      </c>
      <c r="BA398" s="1979">
        <f>IF(Construction!$F$31=Construction!$R$22,Oeko!DN398,Oeko!GA398)</f>
        <v>8.0978905443306406</v>
      </c>
      <c r="BB398" s="1998">
        <f>IF(Construction!$F$31=Construction!$R$22,Oeko!DO398,Oeko!GB398)</f>
        <v>0.98697431080524978</v>
      </c>
      <c r="BC398" s="1998">
        <f>IF(Construction!$F$31=Construction!$R$22,Oeko!DP398,Oeko!GC398)</f>
        <v>0.98697431080524978</v>
      </c>
      <c r="BD398" s="1998">
        <f>IF(Construction!$F$31=Construction!$R$22,Oeko!DQ398,Oeko!GD398)</f>
        <v>0.98697431080524978</v>
      </c>
      <c r="BE398" s="1998">
        <f>IF(Construction!$F$31=Construction!$R$22,Oeko!DR398,Oeko!GE398)</f>
        <v>0.98697431080524978</v>
      </c>
      <c r="BF398" s="1998">
        <f>IF(Construction!$F$31=Construction!$R$22,Oeko!DS398,Oeko!GF398)</f>
        <v>0.98697431080524978</v>
      </c>
      <c r="BG398" s="1979">
        <f>IF(Construction!$F$31=Construction!$R$22,Oeko!DT398,Oeko!GG398)</f>
        <v>0.98996819971114824</v>
      </c>
      <c r="BH398" s="1979">
        <f>IF(Construction!$F$31=Construction!$R$22,Oeko!DU398,Oeko!GH398)</f>
        <v>0.98996819971114824</v>
      </c>
      <c r="BI398" s="1979">
        <f>IF(Construction!$F$31=Construction!$R$22,Oeko!DV398,Oeko!GI398)</f>
        <v>0.98996819971114824</v>
      </c>
      <c r="BJ398" s="1979">
        <f>IF(Construction!$F$31=Construction!$R$22,Oeko!DW398,Oeko!GJ398)</f>
        <v>0.98996819971114824</v>
      </c>
      <c r="BK398" s="2021">
        <f>IF(Construction!$F$31=Construction!$R$22,Oeko!DX398,Oeko!GK398)</f>
        <v>0.98996819971114824</v>
      </c>
      <c r="BN398" s="2022"/>
      <c r="BO398" s="2">
        <v>14</v>
      </c>
      <c r="BP398" s="2" t="str">
        <f>CONCATENATE($U$8," ",GV$8)</f>
        <v xml:space="preserve">Proportion de fenêtres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Proportion de fenêtres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Proportion de fenêtres </v>
      </c>
      <c r="D399" s="1998">
        <f>IF(Construction!$F$31=Construction!$R$22,Oeko!BQ399,Oeko!ED399)</f>
        <v>0</v>
      </c>
      <c r="E399" s="1998">
        <f>IF(Construction!$F$31=Construction!$R$22,Oeko!BR399,Oeko!EE399)</f>
        <v>0</v>
      </c>
      <c r="F399" s="1998">
        <f>IF(Construction!$F$31=Construction!$R$22,Oeko!BS399,Oeko!EF399)</f>
        <v>0</v>
      </c>
      <c r="G399" s="1998">
        <f>IF(Construction!$F$31=Construction!$R$22,Oeko!BT399,Oeko!EG399)</f>
        <v>0</v>
      </c>
      <c r="H399" s="1998">
        <f>IF(Construction!$F$31=Construction!$R$22,Oeko!BU399,Oeko!EH399)</f>
        <v>0</v>
      </c>
      <c r="I399" s="1979">
        <f>IF(Construction!$F$31=Construction!$R$22,Oeko!BV399,Oeko!EI399)</f>
        <v>0</v>
      </c>
      <c r="J399" s="1979">
        <f>IF(Construction!$F$31=Construction!$R$22,Oeko!BW399,Oeko!EJ399)</f>
        <v>0</v>
      </c>
      <c r="K399" s="1979">
        <f>IF(Construction!$F$31=Construction!$R$22,Oeko!BX399,Oeko!EK399)</f>
        <v>0</v>
      </c>
      <c r="L399" s="1979">
        <f>IF(Construction!$F$31=Construction!$R$22,Oeko!BY399,Oeko!EL399)</f>
        <v>0</v>
      </c>
      <c r="M399" s="1979">
        <f>IF(Construction!$F$31=Construction!$R$22,Oeko!BZ399,Oeko!EM399)</f>
        <v>0</v>
      </c>
      <c r="N399" s="1998">
        <f>IF(Construction!$F$31=Construction!$R$22,Oeko!CA399,Oeko!EN399)</f>
        <v>0</v>
      </c>
      <c r="O399" s="1998">
        <f>IF(Construction!$F$31=Construction!$R$22,Oeko!CB399,Oeko!EO399)</f>
        <v>0</v>
      </c>
      <c r="P399" s="1998">
        <f>IF(Construction!$F$31=Construction!$R$22,Oeko!CC399,Oeko!EP399)</f>
        <v>0</v>
      </c>
      <c r="Q399" s="1998">
        <f>IF(Construction!$F$31=Construction!$R$22,Oeko!CD399,Oeko!EQ399)</f>
        <v>0</v>
      </c>
      <c r="R399" s="1998">
        <f>IF(Construction!$F$31=Construction!$R$22,Oeko!CE399,Oeko!ER399)</f>
        <v>0</v>
      </c>
      <c r="S399" s="1979">
        <f>IF(Construction!$F$31=Construction!$R$22,Oeko!CF399,Oeko!ES399)</f>
        <v>0</v>
      </c>
      <c r="T399" s="1979">
        <f>IF(Construction!$F$31=Construction!$R$22,Oeko!CG399,Oeko!ET399)</f>
        <v>0</v>
      </c>
      <c r="U399" s="1979">
        <f>IF(Construction!$F$31=Construction!$R$22,Oeko!CH399,Oeko!EU399)</f>
        <v>0</v>
      </c>
      <c r="V399" s="1979">
        <f>IF(Construction!$F$31=Construction!$R$22,Oeko!CI399,Oeko!EV399)</f>
        <v>0</v>
      </c>
      <c r="W399" s="1979">
        <f>IF(Construction!$F$31=Construction!$R$22,Oeko!CJ399,Oeko!EW399)</f>
        <v>0</v>
      </c>
      <c r="X399" s="1998">
        <f>IF(Construction!$F$31=Construction!$R$22,Oeko!CK399,Oeko!EX399)</f>
        <v>1.0062511233712106</v>
      </c>
      <c r="Y399" s="1998">
        <f>IF(Construction!$F$31=Construction!$R$22,Oeko!CL399,Oeko!EY399)</f>
        <v>1.0062511233712106</v>
      </c>
      <c r="Z399" s="1998">
        <f>IF(Construction!$F$31=Construction!$R$22,Oeko!CM399,Oeko!EZ399)</f>
        <v>1.0062511233712106</v>
      </c>
      <c r="AA399" s="1998">
        <f>IF(Construction!$F$31=Construction!$R$22,Oeko!CN399,Oeko!FA399)</f>
        <v>1.0062511233712106</v>
      </c>
      <c r="AB399" s="1998">
        <f>IF(Construction!$F$31=Construction!$R$22,Oeko!CO399,Oeko!FB399)</f>
        <v>1.0062511233712106</v>
      </c>
      <c r="AC399" s="1979">
        <f>IF(Construction!$F$31=Construction!$R$22,Oeko!CP399,Oeko!FC399)</f>
        <v>0</v>
      </c>
      <c r="AD399" s="1979">
        <f>IF(Construction!$F$31=Construction!$R$22,Oeko!CQ399,Oeko!FD399)</f>
        <v>0</v>
      </c>
      <c r="AE399" s="1979">
        <f>IF(Construction!$F$31=Construction!$R$22,Oeko!CR399,Oeko!FE399)</f>
        <v>0</v>
      </c>
      <c r="AF399" s="1979">
        <f>IF(Construction!$F$31=Construction!$R$22,Oeko!CS399,Oeko!FF399)</f>
        <v>0</v>
      </c>
      <c r="AG399" s="1979">
        <f>IF(Construction!$F$31=Construction!$R$22,Oeko!CT399,Oeko!FG399)</f>
        <v>0</v>
      </c>
      <c r="AH399" s="1998">
        <f>IF(Construction!$F$31=Construction!$R$22,Oeko!CU399,Oeko!FH399)</f>
        <v>1.0155098020753901</v>
      </c>
      <c r="AI399" s="1998">
        <f>IF(Construction!$F$31=Construction!$R$22,Oeko!CV399,Oeko!FI399)</f>
        <v>1.0155098020753901</v>
      </c>
      <c r="AJ399" s="1998">
        <f>IF(Construction!$F$31=Construction!$R$22,Oeko!CW399,Oeko!FJ399)</f>
        <v>1.0155098020753901</v>
      </c>
      <c r="AK399" s="1998">
        <f>IF(Construction!$F$31=Construction!$R$22,Oeko!CX399,Oeko!FK399)</f>
        <v>1.0155098020753901</v>
      </c>
      <c r="AL399" s="1998">
        <f>IF(Construction!$F$31=Construction!$R$22,Oeko!CY399,Oeko!FL399)</f>
        <v>1.0155098020753901</v>
      </c>
      <c r="AM399" s="1979">
        <f>IF(Construction!$F$31=Construction!$R$22,Oeko!CZ399,Oeko!FM399)</f>
        <v>1.0025714242908228</v>
      </c>
      <c r="AN399" s="1979">
        <f>IF(Construction!$F$31=Construction!$R$22,Oeko!DA399,Oeko!FN399)</f>
        <v>1.0027875948568155</v>
      </c>
      <c r="AO399" s="1979">
        <f>IF(Construction!$F$31=Construction!$R$22,Oeko!DB399,Oeko!FO399)</f>
        <v>1.0030414695912955</v>
      </c>
      <c r="AP399" s="1979">
        <f>IF(Construction!$F$31=Construction!$R$22,Oeko!DC399,Oeko!FP399)</f>
        <v>1.0032978579370082</v>
      </c>
      <c r="AQ399" s="1979">
        <f>IF(Construction!$F$31=Construction!$R$22,Oeko!DD399,Oeko!FQ399)</f>
        <v>1.0038382843519904</v>
      </c>
      <c r="AR399" s="1998">
        <f>IF(Construction!$F$31=Construction!$R$22,Oeko!DE399,Oeko!FR399)</f>
        <v>8.1044686284051703</v>
      </c>
      <c r="AS399" s="1998">
        <f>IF(Construction!$F$31=Construction!$R$22,Oeko!DF399,Oeko!FS399)</f>
        <v>8.1044686284051703</v>
      </c>
      <c r="AT399" s="1998">
        <f>IF(Construction!$F$31=Construction!$R$22,Oeko!DG399,Oeko!FT399)</f>
        <v>8.1044686284051703</v>
      </c>
      <c r="AU399" s="1998">
        <f>IF(Construction!$F$31=Construction!$R$22,Oeko!DH399,Oeko!FU399)</f>
        <v>8.1044686284051703</v>
      </c>
      <c r="AV399" s="1998">
        <f>IF(Construction!$F$31=Construction!$R$22,Oeko!DI399,Oeko!FV399)</f>
        <v>8.1044686284051703</v>
      </c>
      <c r="AW399" s="1979">
        <f>IF(Construction!$F$31=Construction!$R$22,Oeko!DJ399,Oeko!FW399)</f>
        <v>8.0906700579424253</v>
      </c>
      <c r="AX399" s="1979">
        <f>IF(Construction!$F$31=Construction!$R$22,Oeko!DK399,Oeko!FX399)</f>
        <v>8.0906700579424253</v>
      </c>
      <c r="AY399" s="1979">
        <f>IF(Construction!$F$31=Construction!$R$22,Oeko!DL399,Oeko!FY399)</f>
        <v>8.0906700579424253</v>
      </c>
      <c r="AZ399" s="1979">
        <f>IF(Construction!$F$31=Construction!$R$22,Oeko!DM399,Oeko!FZ399)</f>
        <v>8.0906700579424253</v>
      </c>
      <c r="BA399" s="1979">
        <f>IF(Construction!$F$31=Construction!$R$22,Oeko!DN399,Oeko!GA399)</f>
        <v>8.0906700579424253</v>
      </c>
      <c r="BB399" s="1998">
        <f>IF(Construction!$F$31=Construction!$R$22,Oeko!DO399,Oeko!GB399)</f>
        <v>0.98617234549490229</v>
      </c>
      <c r="BC399" s="1998">
        <f>IF(Construction!$F$31=Construction!$R$22,Oeko!DP399,Oeko!GC399)</f>
        <v>0.98617234549490229</v>
      </c>
      <c r="BD399" s="1998">
        <f>IF(Construction!$F$31=Construction!$R$22,Oeko!DQ399,Oeko!GD399)</f>
        <v>0.98617234549490229</v>
      </c>
      <c r="BE399" s="1998">
        <f>IF(Construction!$F$31=Construction!$R$22,Oeko!DR399,Oeko!GE399)</f>
        <v>0.98617234549490229</v>
      </c>
      <c r="BF399" s="1998">
        <f>IF(Construction!$F$31=Construction!$R$22,Oeko!DS399,Oeko!GF399)</f>
        <v>0.98617234549490229</v>
      </c>
      <c r="BG399" s="1979">
        <f>IF(Construction!$F$31=Construction!$R$22,Oeko!DT399,Oeko!GG399)</f>
        <v>0.98843270679637185</v>
      </c>
      <c r="BH399" s="1979">
        <f>IF(Construction!$F$31=Construction!$R$22,Oeko!DU399,Oeko!GH399)</f>
        <v>0.98843270679637185</v>
      </c>
      <c r="BI399" s="1979">
        <f>IF(Construction!$F$31=Construction!$R$22,Oeko!DV399,Oeko!GI399)</f>
        <v>0.98843270679637185</v>
      </c>
      <c r="BJ399" s="1979">
        <f>IF(Construction!$F$31=Construction!$R$22,Oeko!DW399,Oeko!GJ399)</f>
        <v>0.98843270679637185</v>
      </c>
      <c r="BK399" s="2021">
        <f>IF(Construction!$F$31=Construction!$R$22,Oeko!DX399,Oeko!GK399)</f>
        <v>0.98843270679637185</v>
      </c>
      <c r="BN399" s="2022"/>
      <c r="BO399" s="2">
        <v>15</v>
      </c>
      <c r="BP399" s="2" t="str">
        <f>CONCATENATE($U$8," ",GV$9)</f>
        <v xml:space="preserve">Proportion de fenêtres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Proportion de fenêtres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Proportion de fenêtres </v>
      </c>
      <c r="D400" s="1998">
        <f>IF(Construction!$F$31=Construction!$R$22,Oeko!BQ400,Oeko!ED400)</f>
        <v>1.0051358610156378</v>
      </c>
      <c r="E400" s="1998">
        <f>IF(Construction!$F$31=Construction!$R$22,Oeko!BR400,Oeko!EE400)</f>
        <v>1.0055676147276071</v>
      </c>
      <c r="F400" s="1998">
        <f>IF(Construction!$F$31=Construction!$R$22,Oeko!BS400,Oeko!EF400)</f>
        <v>1.0060746743195714</v>
      </c>
      <c r="G400" s="1998">
        <f>IF(Construction!$F$31=Construction!$R$22,Oeko!BT400,Oeko!EG400)</f>
        <v>1.0065867543035354</v>
      </c>
      <c r="H400" s="1998">
        <f>IF(Construction!$F$31=Construction!$R$22,Oeko!BU400,Oeko!EH400)</f>
        <v>1.0076661385834593</v>
      </c>
      <c r="I400" s="1979">
        <f>IF(Construction!$F$31=Construction!$R$22,Oeko!BV400,Oeko!EI400)</f>
        <v>1.0082183304749306</v>
      </c>
      <c r="J400" s="1979">
        <f>IF(Construction!$F$31=Construction!$R$22,Oeko!BW400,Oeko!EJ400)</f>
        <v>1.0089092165168112</v>
      </c>
      <c r="K400" s="1979">
        <f>IF(Construction!$F$31=Construction!$R$22,Oeko!BX400,Oeko!EK400)</f>
        <v>1.0097206059380897</v>
      </c>
      <c r="L400" s="1979">
        <f>IF(Construction!$F$31=Construction!$R$22,Oeko!BY400,Oeko!EL400)</f>
        <v>1.0105400289179949</v>
      </c>
      <c r="M400" s="1979">
        <f>IF(Construction!$F$31=Construction!$R$22,Oeko!BZ400,Oeko!EM400)</f>
        <v>1.0122672440226967</v>
      </c>
      <c r="N400" s="1998">
        <f>IF(Construction!$F$31=Construction!$R$22,Oeko!CA400,Oeko!EN400)</f>
        <v>1.0063071533045282</v>
      </c>
      <c r="O400" s="1998">
        <f>IF(Construction!$F$31=Construction!$R$22,Oeko!CB400,Oeko!EO400)</f>
        <v>1.0063071533045282</v>
      </c>
      <c r="P400" s="1998">
        <f>IF(Construction!$F$31=Construction!$R$22,Oeko!CC400,Oeko!EP400)</f>
        <v>1.0063071533045282</v>
      </c>
      <c r="Q400" s="1998">
        <f>IF(Construction!$F$31=Construction!$R$22,Oeko!CD400,Oeko!EQ400)</f>
        <v>1.0063071533045282</v>
      </c>
      <c r="R400" s="1998">
        <f>IF(Construction!$F$31=Construction!$R$22,Oeko!CE400,Oeko!ER400)</f>
        <v>1.0063071533045282</v>
      </c>
      <c r="S400" s="1979">
        <f>IF(Construction!$F$31=Construction!$R$22,Oeko!CF400,Oeko!ES400)</f>
        <v>1.0136036639901589</v>
      </c>
      <c r="T400" s="1979">
        <f>IF(Construction!$F$31=Construction!$R$22,Oeko!CG400,Oeko!ET400)</f>
        <v>1.0136036639901589</v>
      </c>
      <c r="U400" s="1979">
        <f>IF(Construction!$F$31=Construction!$R$22,Oeko!CH400,Oeko!EU400)</f>
        <v>1.0136036639901589</v>
      </c>
      <c r="V400" s="1979">
        <f>IF(Construction!$F$31=Construction!$R$22,Oeko!CI400,Oeko!EV400)</f>
        <v>1.0136036639901589</v>
      </c>
      <c r="W400" s="1979">
        <f>IF(Construction!$F$31=Construction!$R$22,Oeko!CJ400,Oeko!EW400)</f>
        <v>1.0136036639901589</v>
      </c>
      <c r="X400" s="1998">
        <f>IF(Construction!$F$31=Construction!$R$22,Oeko!CK400,Oeko!EX400)</f>
        <v>1.0054697329498092</v>
      </c>
      <c r="Y400" s="1998">
        <f>IF(Construction!$F$31=Construction!$R$22,Oeko!CL400,Oeko!EY400)</f>
        <v>1.0054697329498092</v>
      </c>
      <c r="Z400" s="1998">
        <f>IF(Construction!$F$31=Construction!$R$22,Oeko!CM400,Oeko!EZ400)</f>
        <v>1.0054697329498092</v>
      </c>
      <c r="AA400" s="1998">
        <f>IF(Construction!$F$31=Construction!$R$22,Oeko!CN400,Oeko!FA400)</f>
        <v>1.0054697329498092</v>
      </c>
      <c r="AB400" s="1998">
        <f>IF(Construction!$F$31=Construction!$R$22,Oeko!CO400,Oeko!FB400)</f>
        <v>1.0054697329498092</v>
      </c>
      <c r="AC400" s="1979">
        <f>IF(Construction!$F$31=Construction!$R$22,Oeko!CP400,Oeko!FC400)</f>
        <v>1.0058433920321364</v>
      </c>
      <c r="AD400" s="1979">
        <f>IF(Construction!$F$31=Construction!$R$22,Oeko!CQ400,Oeko!FD400)</f>
        <v>1.0058433920321364</v>
      </c>
      <c r="AE400" s="1979">
        <f>IF(Construction!$F$31=Construction!$R$22,Oeko!CR400,Oeko!FE400)</f>
        <v>1.0058433920321364</v>
      </c>
      <c r="AF400" s="1979">
        <f>IF(Construction!$F$31=Construction!$R$22,Oeko!CS400,Oeko!FF400)</f>
        <v>1.0058433920321364</v>
      </c>
      <c r="AG400" s="1979">
        <f>IF(Construction!$F$31=Construction!$R$22,Oeko!CT400,Oeko!FG400)</f>
        <v>1.0058433920321364</v>
      </c>
      <c r="AH400" s="1998">
        <f>IF(Construction!$F$31=Construction!$R$22,Oeko!CU400,Oeko!FH400)</f>
        <v>1.0135710768159663</v>
      </c>
      <c r="AI400" s="1998">
        <f>IF(Construction!$F$31=Construction!$R$22,Oeko!CV400,Oeko!FI400)</f>
        <v>1.0135710768159663</v>
      </c>
      <c r="AJ400" s="1998">
        <f>IF(Construction!$F$31=Construction!$R$22,Oeko!CW400,Oeko!FJ400)</f>
        <v>1.0135710768159663</v>
      </c>
      <c r="AK400" s="1998">
        <f>IF(Construction!$F$31=Construction!$R$22,Oeko!CX400,Oeko!FK400)</f>
        <v>1.0135710768159663</v>
      </c>
      <c r="AL400" s="1998">
        <f>IF(Construction!$F$31=Construction!$R$22,Oeko!CY400,Oeko!FL400)</f>
        <v>1.0135710768159663</v>
      </c>
      <c r="AM400" s="1979">
        <f>IF(Construction!$F$31=Construction!$R$22,Oeko!CZ400,Oeko!FM400)</f>
        <v>1.0022499962544698</v>
      </c>
      <c r="AN400" s="1979">
        <f>IF(Construction!$F$31=Construction!$R$22,Oeko!DA400,Oeko!FN400)</f>
        <v>1.0024391454997137</v>
      </c>
      <c r="AO400" s="1979">
        <f>IF(Construction!$F$31=Construction!$R$22,Oeko!DB400,Oeko!FO400)</f>
        <v>1.0026612858923836</v>
      </c>
      <c r="AP400" s="1979">
        <f>IF(Construction!$F$31=Construction!$R$22,Oeko!DC400,Oeko!FP400)</f>
        <v>1.0028856256948822</v>
      </c>
      <c r="AQ400" s="1979">
        <f>IF(Construction!$F$31=Construction!$R$22,Oeko!DD400,Oeko!FQ400)</f>
        <v>1.0033584988079916</v>
      </c>
      <c r="AR400" s="1998">
        <f>IF(Construction!$F$31=Construction!$R$22,Oeko!DE400,Oeko!FR400)</f>
        <v>8.0975175205947174</v>
      </c>
      <c r="AS400" s="1998">
        <f>IF(Construction!$F$31=Construction!$R$22,Oeko!DF400,Oeko!FS400)</f>
        <v>8.0975175205947174</v>
      </c>
      <c r="AT400" s="1998">
        <f>IF(Construction!$F$31=Construction!$R$22,Oeko!DG400,Oeko!FT400)</f>
        <v>8.0975175205947174</v>
      </c>
      <c r="AU400" s="1998">
        <f>IF(Construction!$F$31=Construction!$R$22,Oeko!DH400,Oeko!FU400)</f>
        <v>8.0975175205947174</v>
      </c>
      <c r="AV400" s="1998">
        <f>IF(Construction!$F$31=Construction!$R$22,Oeko!DI400,Oeko!FV400)</f>
        <v>8.0975175205947174</v>
      </c>
      <c r="AW400" s="1979">
        <f>IF(Construction!$F$31=Construction!$R$22,Oeko!DJ400,Oeko!FW400)</f>
        <v>8.0834495715542101</v>
      </c>
      <c r="AX400" s="1979">
        <f>IF(Construction!$F$31=Construction!$R$22,Oeko!DK400,Oeko!FX400)</f>
        <v>8.0834495715542101</v>
      </c>
      <c r="AY400" s="1979">
        <f>IF(Construction!$F$31=Construction!$R$22,Oeko!DL400,Oeko!FY400)</f>
        <v>8.0834495715542101</v>
      </c>
      <c r="AZ400" s="1979">
        <f>IF(Construction!$F$31=Construction!$R$22,Oeko!DM400,Oeko!FZ400)</f>
        <v>8.0834495715542101</v>
      </c>
      <c r="BA400" s="1979">
        <f>IF(Construction!$F$31=Construction!$R$22,Oeko!DN400,Oeko!GA400)</f>
        <v>8.0834495715542101</v>
      </c>
      <c r="BB400" s="1998">
        <f>IF(Construction!$F$31=Construction!$R$22,Oeko!DO400,Oeko!GB400)</f>
        <v>0.98537038018455481</v>
      </c>
      <c r="BC400" s="1998">
        <f>IF(Construction!$F$31=Construction!$R$22,Oeko!DP400,Oeko!GC400)</f>
        <v>0.98537038018455481</v>
      </c>
      <c r="BD400" s="1998">
        <f>IF(Construction!$F$31=Construction!$R$22,Oeko!DQ400,Oeko!GD400)</f>
        <v>0.98537038018455481</v>
      </c>
      <c r="BE400" s="1998">
        <f>IF(Construction!$F$31=Construction!$R$22,Oeko!DR400,Oeko!GE400)</f>
        <v>0.98537038018455481</v>
      </c>
      <c r="BF400" s="1998">
        <f>IF(Construction!$F$31=Construction!$R$22,Oeko!DS400,Oeko!GF400)</f>
        <v>0.98537038018455481</v>
      </c>
      <c r="BG400" s="1979">
        <f>IF(Construction!$F$31=Construction!$R$22,Oeko!DT400,Oeko!GG400)</f>
        <v>0.98689721388159546</v>
      </c>
      <c r="BH400" s="1979">
        <f>IF(Construction!$F$31=Construction!$R$22,Oeko!DU400,Oeko!GH400)</f>
        <v>0.98689721388159546</v>
      </c>
      <c r="BI400" s="1979">
        <f>IF(Construction!$F$31=Construction!$R$22,Oeko!DV400,Oeko!GI400)</f>
        <v>0.98689721388159546</v>
      </c>
      <c r="BJ400" s="1979">
        <f>IF(Construction!$F$31=Construction!$R$22,Oeko!DW400,Oeko!GJ400)</f>
        <v>0.98689721388159546</v>
      </c>
      <c r="BK400" s="2021">
        <f>IF(Construction!$F$31=Construction!$R$22,Oeko!DX400,Oeko!GK400)</f>
        <v>0.98689721388159546</v>
      </c>
      <c r="BN400" s="2022"/>
      <c r="BO400" s="2">
        <v>16</v>
      </c>
      <c r="BP400" s="2" t="str">
        <f>CONCATENATE($U$8," ",GV$10)</f>
        <v xml:space="preserve">Proportion de fenêtres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Proportion de fenêtres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Proportion de fenêtres </v>
      </c>
      <c r="D401" s="1998">
        <f>IF(Construction!$F$31=Construction!$R$22,Oeko!BQ401,Oeko!ED401)</f>
        <v>1.0044021665848324</v>
      </c>
      <c r="E401" s="1998">
        <f>IF(Construction!$F$31=Construction!$R$22,Oeko!BR401,Oeko!EE401)</f>
        <v>1.0047722411950919</v>
      </c>
      <c r="F401" s="1998">
        <f>IF(Construction!$F$31=Construction!$R$22,Oeko!BS401,Oeko!EF401)</f>
        <v>1.0052068637024898</v>
      </c>
      <c r="G401" s="1998">
        <f>IF(Construction!$F$31=Construction!$R$22,Oeko!BT401,Oeko!EG401)</f>
        <v>1.0056457894030304</v>
      </c>
      <c r="H401" s="1998">
        <f>IF(Construction!$F$31=Construction!$R$22,Oeko!BU401,Oeko!EH401)</f>
        <v>1.0065709759286794</v>
      </c>
      <c r="I401" s="1979">
        <f>IF(Construction!$F$31=Construction!$R$22,Oeko!BV401,Oeko!EI401)</f>
        <v>1.0070442832642261</v>
      </c>
      <c r="J401" s="1979">
        <f>IF(Construction!$F$31=Construction!$R$22,Oeko!BW401,Oeko!EJ401)</f>
        <v>1.007636471300124</v>
      </c>
      <c r="K401" s="1979">
        <f>IF(Construction!$F$31=Construction!$R$22,Oeko!BX401,Oeko!EK401)</f>
        <v>1.0083319479469341</v>
      </c>
      <c r="L401" s="1979">
        <f>IF(Construction!$F$31=Construction!$R$22,Oeko!BY401,Oeko!EL401)</f>
        <v>1.0090343105011388</v>
      </c>
      <c r="M401" s="1979">
        <f>IF(Construction!$F$31=Construction!$R$22,Oeko!BZ401,Oeko!EM401)</f>
        <v>1.010514780590883</v>
      </c>
      <c r="N401" s="1998">
        <f>IF(Construction!$F$31=Construction!$R$22,Oeko!CA401,Oeko!EN401)</f>
        <v>1.0054061314038814</v>
      </c>
      <c r="O401" s="1998">
        <f>IF(Construction!$F$31=Construction!$R$22,Oeko!CB401,Oeko!EO401)</f>
        <v>1.0054061314038814</v>
      </c>
      <c r="P401" s="1998">
        <f>IF(Construction!$F$31=Construction!$R$22,Oeko!CC401,Oeko!EP401)</f>
        <v>1.0054061314038814</v>
      </c>
      <c r="Q401" s="1998">
        <f>IF(Construction!$F$31=Construction!$R$22,Oeko!CD401,Oeko!EQ401)</f>
        <v>1.0054061314038814</v>
      </c>
      <c r="R401" s="1998">
        <f>IF(Construction!$F$31=Construction!$R$22,Oeko!CE401,Oeko!ER401)</f>
        <v>1.0054061314038814</v>
      </c>
      <c r="S401" s="1979">
        <f>IF(Construction!$F$31=Construction!$R$22,Oeko!CF401,Oeko!ES401)</f>
        <v>1.0116602834201363</v>
      </c>
      <c r="T401" s="1979">
        <f>IF(Construction!$F$31=Construction!$R$22,Oeko!CG401,Oeko!ET401)</f>
        <v>1.0116602834201363</v>
      </c>
      <c r="U401" s="1979">
        <f>IF(Construction!$F$31=Construction!$R$22,Oeko!CH401,Oeko!EU401)</f>
        <v>1.0116602834201363</v>
      </c>
      <c r="V401" s="1979">
        <f>IF(Construction!$F$31=Construction!$R$22,Oeko!CI401,Oeko!EV401)</f>
        <v>1.0116602834201363</v>
      </c>
      <c r="W401" s="1979">
        <f>IF(Construction!$F$31=Construction!$R$22,Oeko!CJ401,Oeko!EW401)</f>
        <v>1.0116602834201363</v>
      </c>
      <c r="X401" s="1998">
        <f>IF(Construction!$F$31=Construction!$R$22,Oeko!CK401,Oeko!EX401)</f>
        <v>1.0046883425284079</v>
      </c>
      <c r="Y401" s="1998">
        <f>IF(Construction!$F$31=Construction!$R$22,Oeko!CL401,Oeko!EY401)</f>
        <v>1.0046883425284079</v>
      </c>
      <c r="Z401" s="1998">
        <f>IF(Construction!$F$31=Construction!$R$22,Oeko!CM401,Oeko!EZ401)</f>
        <v>1.0046883425284079</v>
      </c>
      <c r="AA401" s="1998">
        <f>IF(Construction!$F$31=Construction!$R$22,Oeko!CN401,Oeko!FA401)</f>
        <v>1.0046883425284079</v>
      </c>
      <c r="AB401" s="1998">
        <f>IF(Construction!$F$31=Construction!$R$22,Oeko!CO401,Oeko!FB401)</f>
        <v>1.0046883425284079</v>
      </c>
      <c r="AC401" s="1979">
        <f>IF(Construction!$F$31=Construction!$R$22,Oeko!CP401,Oeko!FC401)</f>
        <v>1.0050086217418313</v>
      </c>
      <c r="AD401" s="1979">
        <f>IF(Construction!$F$31=Construction!$R$22,Oeko!CQ401,Oeko!FD401)</f>
        <v>1.0050086217418313</v>
      </c>
      <c r="AE401" s="1979">
        <f>IF(Construction!$F$31=Construction!$R$22,Oeko!CR401,Oeko!FE401)</f>
        <v>1.0050086217418313</v>
      </c>
      <c r="AF401" s="1979">
        <f>IF(Construction!$F$31=Construction!$R$22,Oeko!CS401,Oeko!FF401)</f>
        <v>1.0050086217418313</v>
      </c>
      <c r="AG401" s="1979">
        <f>IF(Construction!$F$31=Construction!$R$22,Oeko!CT401,Oeko!FG401)</f>
        <v>1.0050086217418313</v>
      </c>
      <c r="AH401" s="1998">
        <f>IF(Construction!$F$31=Construction!$R$22,Oeko!CU401,Oeko!FH401)</f>
        <v>1.0116323515565424</v>
      </c>
      <c r="AI401" s="1998">
        <f>IF(Construction!$F$31=Construction!$R$22,Oeko!CV401,Oeko!FI401)</f>
        <v>1.0116323515565424</v>
      </c>
      <c r="AJ401" s="1998">
        <f>IF(Construction!$F$31=Construction!$R$22,Oeko!CW401,Oeko!FJ401)</f>
        <v>1.0116323515565424</v>
      </c>
      <c r="AK401" s="1998">
        <f>IF(Construction!$F$31=Construction!$R$22,Oeko!CX401,Oeko!FK401)</f>
        <v>1.0116323515565424</v>
      </c>
      <c r="AL401" s="1998">
        <f>IF(Construction!$F$31=Construction!$R$22,Oeko!CY401,Oeko!FL401)</f>
        <v>1.0116323515565424</v>
      </c>
      <c r="AM401" s="1979">
        <f>IF(Construction!$F$31=Construction!$R$22,Oeko!CZ401,Oeko!FM401)</f>
        <v>1.0019285682181169</v>
      </c>
      <c r="AN401" s="1979">
        <f>IF(Construction!$F$31=Construction!$R$22,Oeko!DA401,Oeko!FN401)</f>
        <v>1.0020906961426117</v>
      </c>
      <c r="AO401" s="1979">
        <f>IF(Construction!$F$31=Construction!$R$22,Oeko!DB401,Oeko!FO401)</f>
        <v>1.0022811021934717</v>
      </c>
      <c r="AP401" s="1979">
        <f>IF(Construction!$F$31=Construction!$R$22,Oeko!DC401,Oeko!FP401)</f>
        <v>1.0024733934527561</v>
      </c>
      <c r="AQ401" s="1979">
        <f>IF(Construction!$F$31=Construction!$R$22,Oeko!DD401,Oeko!FQ401)</f>
        <v>1.0028787132639927</v>
      </c>
      <c r="AR401" s="1998">
        <f>IF(Construction!$F$31=Construction!$R$22,Oeko!DE401,Oeko!FR401)</f>
        <v>8.0905664127842645</v>
      </c>
      <c r="AS401" s="1998">
        <f>IF(Construction!$F$31=Construction!$R$22,Oeko!DF401,Oeko!FS401)</f>
        <v>8.0905664127842645</v>
      </c>
      <c r="AT401" s="1998">
        <f>IF(Construction!$F$31=Construction!$R$22,Oeko!DG401,Oeko!FT401)</f>
        <v>8.0905664127842645</v>
      </c>
      <c r="AU401" s="1998">
        <f>IF(Construction!$F$31=Construction!$R$22,Oeko!DH401,Oeko!FU401)</f>
        <v>8.0905664127842645</v>
      </c>
      <c r="AV401" s="1998">
        <f>IF(Construction!$F$31=Construction!$R$22,Oeko!DI401,Oeko!FV401)</f>
        <v>8.0905664127842645</v>
      </c>
      <c r="AW401" s="1979">
        <f>IF(Construction!$F$31=Construction!$R$22,Oeko!DJ401,Oeko!FW401)</f>
        <v>8.0762290851659948</v>
      </c>
      <c r="AX401" s="1979">
        <f>IF(Construction!$F$31=Construction!$R$22,Oeko!DK401,Oeko!FX401)</f>
        <v>8.0762290851659948</v>
      </c>
      <c r="AY401" s="1979">
        <f>IF(Construction!$F$31=Construction!$R$22,Oeko!DL401,Oeko!FY401)</f>
        <v>8.0762290851659948</v>
      </c>
      <c r="AZ401" s="1979">
        <f>IF(Construction!$F$31=Construction!$R$22,Oeko!DM401,Oeko!FZ401)</f>
        <v>8.0762290851659948</v>
      </c>
      <c r="BA401" s="1979">
        <f>IF(Construction!$F$31=Construction!$R$22,Oeko!DN401,Oeko!GA401)</f>
        <v>8.0762290851659948</v>
      </c>
      <c r="BB401" s="1998">
        <f>IF(Construction!$F$31=Construction!$R$22,Oeko!DO401,Oeko!GB401)</f>
        <v>0.9845684148742071</v>
      </c>
      <c r="BC401" s="1998">
        <f>IF(Construction!$F$31=Construction!$R$22,Oeko!DP401,Oeko!GC401)</f>
        <v>0.9845684148742071</v>
      </c>
      <c r="BD401" s="1998">
        <f>IF(Construction!$F$31=Construction!$R$22,Oeko!DQ401,Oeko!GD401)</f>
        <v>0.9845684148742071</v>
      </c>
      <c r="BE401" s="1998">
        <f>IF(Construction!$F$31=Construction!$R$22,Oeko!DR401,Oeko!GE401)</f>
        <v>0.9845684148742071</v>
      </c>
      <c r="BF401" s="1998">
        <f>IF(Construction!$F$31=Construction!$R$22,Oeko!DS401,Oeko!GF401)</f>
        <v>0.9845684148742071</v>
      </c>
      <c r="BG401" s="1979">
        <f>IF(Construction!$F$31=Construction!$R$22,Oeko!DT401,Oeko!GG401)</f>
        <v>0.98536172096681907</v>
      </c>
      <c r="BH401" s="1979">
        <f>IF(Construction!$F$31=Construction!$R$22,Oeko!DU401,Oeko!GH401)</f>
        <v>0.98536172096681907</v>
      </c>
      <c r="BI401" s="1979">
        <f>IF(Construction!$F$31=Construction!$R$22,Oeko!DV401,Oeko!GI401)</f>
        <v>0.98536172096681907</v>
      </c>
      <c r="BJ401" s="1979">
        <f>IF(Construction!$F$31=Construction!$R$22,Oeko!DW401,Oeko!GJ401)</f>
        <v>0.98536172096681907</v>
      </c>
      <c r="BK401" s="2021">
        <f>IF(Construction!$F$31=Construction!$R$22,Oeko!DX401,Oeko!GK401)</f>
        <v>0.98536172096681907</v>
      </c>
      <c r="BN401" s="2022"/>
      <c r="BO401" s="2">
        <v>17</v>
      </c>
      <c r="BP401" s="2" t="str">
        <f>CONCATENATE($U$8," ",GV$11)</f>
        <v xml:space="preserve">Proportion de fenêtres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Proportion de fenêtres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Proportion de fenêtres </v>
      </c>
      <c r="D402" s="1998">
        <f>IF(Construction!$F$31=Construction!$R$22,Oeko!BQ402,Oeko!ED402)</f>
        <v>1.003668472154027</v>
      </c>
      <c r="E402" s="1998">
        <f>IF(Construction!$F$31=Construction!$R$22,Oeko!BR402,Oeko!EE402)</f>
        <v>1.0039768676625764</v>
      </c>
      <c r="F402" s="1998">
        <f>IF(Construction!$F$31=Construction!$R$22,Oeko!BS402,Oeko!EF402)</f>
        <v>1.0043390530854082</v>
      </c>
      <c r="G402" s="1998">
        <f>IF(Construction!$F$31=Construction!$R$22,Oeko!BT402,Oeko!EG402)</f>
        <v>1.0047048245025252</v>
      </c>
      <c r="H402" s="1998">
        <f>IF(Construction!$F$31=Construction!$R$22,Oeko!BU402,Oeko!EH402)</f>
        <v>1.0054758132738995</v>
      </c>
      <c r="I402" s="1979">
        <f>IF(Construction!$F$31=Construction!$R$22,Oeko!BV402,Oeko!EI402)</f>
        <v>1.0058702360535219</v>
      </c>
      <c r="J402" s="1979">
        <f>IF(Construction!$F$31=Construction!$R$22,Oeko!BW402,Oeko!EJ402)</f>
        <v>1.0063637260834366</v>
      </c>
      <c r="K402" s="1979">
        <f>IF(Construction!$F$31=Construction!$R$22,Oeko!BX402,Oeko!EK402)</f>
        <v>1.0069432899557782</v>
      </c>
      <c r="L402" s="1979">
        <f>IF(Construction!$F$31=Construction!$R$22,Oeko!BY402,Oeko!EL402)</f>
        <v>1.007528592084282</v>
      </c>
      <c r="M402" s="1979">
        <f>IF(Construction!$F$31=Construction!$R$22,Oeko!BZ402,Oeko!EM402)</f>
        <v>1.0087623171590694</v>
      </c>
      <c r="N402" s="1998">
        <f>IF(Construction!$F$31=Construction!$R$22,Oeko!CA402,Oeko!EN402)</f>
        <v>1.0045051095032345</v>
      </c>
      <c r="O402" s="1998">
        <f>IF(Construction!$F$31=Construction!$R$22,Oeko!CB402,Oeko!EO402)</f>
        <v>1.0045051095032345</v>
      </c>
      <c r="P402" s="1998">
        <f>IF(Construction!$F$31=Construction!$R$22,Oeko!CC402,Oeko!EP402)</f>
        <v>1.0045051095032345</v>
      </c>
      <c r="Q402" s="1998">
        <f>IF(Construction!$F$31=Construction!$R$22,Oeko!CD402,Oeko!EQ402)</f>
        <v>1.0045051095032345</v>
      </c>
      <c r="R402" s="1998">
        <f>IF(Construction!$F$31=Construction!$R$22,Oeko!CE402,Oeko!ER402)</f>
        <v>1.0045051095032345</v>
      </c>
      <c r="S402" s="1979">
        <f>IF(Construction!$F$31=Construction!$R$22,Oeko!CF402,Oeko!ES402)</f>
        <v>1.0097169028501134</v>
      </c>
      <c r="T402" s="1979">
        <f>IF(Construction!$F$31=Construction!$R$22,Oeko!CG402,Oeko!ET402)</f>
        <v>1.0097169028501134</v>
      </c>
      <c r="U402" s="1979">
        <f>IF(Construction!$F$31=Construction!$R$22,Oeko!CH402,Oeko!EU402)</f>
        <v>1.0097169028501134</v>
      </c>
      <c r="V402" s="1979">
        <f>IF(Construction!$F$31=Construction!$R$22,Oeko!CI402,Oeko!EV402)</f>
        <v>1.0097169028501134</v>
      </c>
      <c r="W402" s="1979">
        <f>IF(Construction!$F$31=Construction!$R$22,Oeko!CJ402,Oeko!EW402)</f>
        <v>1.0097169028501134</v>
      </c>
      <c r="X402" s="1998">
        <f>IF(Construction!$F$31=Construction!$R$22,Oeko!CK402,Oeko!EX402)</f>
        <v>1.0039069521070068</v>
      </c>
      <c r="Y402" s="1998">
        <f>IF(Construction!$F$31=Construction!$R$22,Oeko!CL402,Oeko!EY402)</f>
        <v>1.0039069521070068</v>
      </c>
      <c r="Z402" s="1998">
        <f>IF(Construction!$F$31=Construction!$R$22,Oeko!CM402,Oeko!EZ402)</f>
        <v>1.0039069521070068</v>
      </c>
      <c r="AA402" s="1998">
        <f>IF(Construction!$F$31=Construction!$R$22,Oeko!CN402,Oeko!FA402)</f>
        <v>1.0039069521070068</v>
      </c>
      <c r="AB402" s="1998">
        <f>IF(Construction!$F$31=Construction!$R$22,Oeko!CO402,Oeko!FB402)</f>
        <v>1.0039069521070068</v>
      </c>
      <c r="AC402" s="1979">
        <f>IF(Construction!$F$31=Construction!$R$22,Oeko!CP402,Oeko!FC402)</f>
        <v>1.0041738514515262</v>
      </c>
      <c r="AD402" s="1979">
        <f>IF(Construction!$F$31=Construction!$R$22,Oeko!CQ402,Oeko!FD402)</f>
        <v>1.0041738514515262</v>
      </c>
      <c r="AE402" s="1979">
        <f>IF(Construction!$F$31=Construction!$R$22,Oeko!CR402,Oeko!FE402)</f>
        <v>1.0041738514515262</v>
      </c>
      <c r="AF402" s="1979">
        <f>IF(Construction!$F$31=Construction!$R$22,Oeko!CS402,Oeko!FF402)</f>
        <v>1.0041738514515262</v>
      </c>
      <c r="AG402" s="1979">
        <f>IF(Construction!$F$31=Construction!$R$22,Oeko!CT402,Oeko!FG402)</f>
        <v>1.0041738514515262</v>
      </c>
      <c r="AH402" s="1998">
        <f>IF(Construction!$F$31=Construction!$R$22,Oeko!CU402,Oeko!FH402)</f>
        <v>1.0096936262971188</v>
      </c>
      <c r="AI402" s="1998">
        <f>IF(Construction!$F$31=Construction!$R$22,Oeko!CV402,Oeko!FI402)</f>
        <v>1.0096936262971188</v>
      </c>
      <c r="AJ402" s="1998">
        <f>IF(Construction!$F$31=Construction!$R$22,Oeko!CW402,Oeko!FJ402)</f>
        <v>1.0096936262971188</v>
      </c>
      <c r="AK402" s="1998">
        <f>IF(Construction!$F$31=Construction!$R$22,Oeko!CX402,Oeko!FK402)</f>
        <v>1.0096936262971188</v>
      </c>
      <c r="AL402" s="1998">
        <f>IF(Construction!$F$31=Construction!$R$22,Oeko!CY402,Oeko!FL402)</f>
        <v>1.0096936262971188</v>
      </c>
      <c r="AM402" s="1979">
        <f>IF(Construction!$F$31=Construction!$R$22,Oeko!CZ402,Oeko!FM402)</f>
        <v>1.0016071401817641</v>
      </c>
      <c r="AN402" s="1979">
        <f>IF(Construction!$F$31=Construction!$R$22,Oeko!DA402,Oeko!FN402)</f>
        <v>1.0017422467855097</v>
      </c>
      <c r="AO402" s="1979">
        <f>IF(Construction!$F$31=Construction!$R$22,Oeko!DB402,Oeko!FO402)</f>
        <v>1.0019009184945598</v>
      </c>
      <c r="AP402" s="1979">
        <f>IF(Construction!$F$31=Construction!$R$22,Oeko!DC402,Oeko!FP402)</f>
        <v>1.00206116121063</v>
      </c>
      <c r="AQ402" s="1979">
        <f>IF(Construction!$F$31=Construction!$R$22,Oeko!DD402,Oeko!FQ402)</f>
        <v>1.0023989277199938</v>
      </c>
      <c r="AR402" s="1998">
        <f>IF(Construction!$F$31=Construction!$R$22,Oeko!DE402,Oeko!FR402)</f>
        <v>8.0836153049738115</v>
      </c>
      <c r="AS402" s="1998">
        <f>IF(Construction!$F$31=Construction!$R$22,Oeko!DF402,Oeko!FS402)</f>
        <v>8.0836153049738115</v>
      </c>
      <c r="AT402" s="1998">
        <f>IF(Construction!$F$31=Construction!$R$22,Oeko!DG402,Oeko!FT402)</f>
        <v>8.0836153049738115</v>
      </c>
      <c r="AU402" s="1998">
        <f>IF(Construction!$F$31=Construction!$R$22,Oeko!DH402,Oeko!FU402)</f>
        <v>8.0836153049738115</v>
      </c>
      <c r="AV402" s="1998">
        <f>IF(Construction!$F$31=Construction!$R$22,Oeko!DI402,Oeko!FV402)</f>
        <v>8.0836153049738115</v>
      </c>
      <c r="AW402" s="1979">
        <f>IF(Construction!$F$31=Construction!$R$22,Oeko!DJ402,Oeko!FW402)</f>
        <v>8.0690085987777831</v>
      </c>
      <c r="AX402" s="1979">
        <f>IF(Construction!$F$31=Construction!$R$22,Oeko!DK402,Oeko!FX402)</f>
        <v>8.0690085987777831</v>
      </c>
      <c r="AY402" s="1979">
        <f>IF(Construction!$F$31=Construction!$R$22,Oeko!DL402,Oeko!FY402)</f>
        <v>8.0690085987777831</v>
      </c>
      <c r="AZ402" s="1979">
        <f>IF(Construction!$F$31=Construction!$R$22,Oeko!DM402,Oeko!FZ402)</f>
        <v>8.0690085987777831</v>
      </c>
      <c r="BA402" s="1979">
        <f>IF(Construction!$F$31=Construction!$R$22,Oeko!DN402,Oeko!GA402)</f>
        <v>8.0690085987777831</v>
      </c>
      <c r="BB402" s="1998">
        <f>IF(Construction!$F$31=Construction!$R$22,Oeko!DO402,Oeko!GB402)</f>
        <v>0.98376644956385961</v>
      </c>
      <c r="BC402" s="1998">
        <f>IF(Construction!$F$31=Construction!$R$22,Oeko!DP402,Oeko!GC402)</f>
        <v>0.98376644956385961</v>
      </c>
      <c r="BD402" s="1998">
        <f>IF(Construction!$F$31=Construction!$R$22,Oeko!DQ402,Oeko!GD402)</f>
        <v>0.98376644956385961</v>
      </c>
      <c r="BE402" s="1998">
        <f>IF(Construction!$F$31=Construction!$R$22,Oeko!DR402,Oeko!GE402)</f>
        <v>0.98376644956385961</v>
      </c>
      <c r="BF402" s="1998">
        <f>IF(Construction!$F$31=Construction!$R$22,Oeko!DS402,Oeko!GF402)</f>
        <v>0.98376644956385961</v>
      </c>
      <c r="BG402" s="1979">
        <f>IF(Construction!$F$31=Construction!$R$22,Oeko!DT402,Oeko!GG402)</f>
        <v>0.98382622805204278</v>
      </c>
      <c r="BH402" s="1979">
        <f>IF(Construction!$F$31=Construction!$R$22,Oeko!DU402,Oeko!GH402)</f>
        <v>0.98382622805204278</v>
      </c>
      <c r="BI402" s="1979">
        <f>IF(Construction!$F$31=Construction!$R$22,Oeko!DV402,Oeko!GI402)</f>
        <v>0.98382622805204278</v>
      </c>
      <c r="BJ402" s="1979">
        <f>IF(Construction!$F$31=Construction!$R$22,Oeko!DW402,Oeko!GJ402)</f>
        <v>0.98382622805204278</v>
      </c>
      <c r="BK402" s="2021">
        <f>IF(Construction!$F$31=Construction!$R$22,Oeko!DX402,Oeko!GK402)</f>
        <v>0.98382622805204278</v>
      </c>
      <c r="BN402" s="2022"/>
      <c r="BO402" s="2">
        <v>18</v>
      </c>
      <c r="BP402" s="2" t="str">
        <f>CONCATENATE($U$8," ",GV$12)</f>
        <v xml:space="preserve">Proportion de fenêtres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Proportion de fenêtres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Proportion de fenêtres </v>
      </c>
      <c r="D403" s="1998">
        <f>IF(Construction!$F$31=Construction!$R$22,Oeko!BQ403,Oeko!ED403)</f>
        <v>1.0029347777232216</v>
      </c>
      <c r="E403" s="1998">
        <f>IF(Construction!$F$31=Construction!$R$22,Oeko!BR403,Oeko!EE403)</f>
        <v>1.0031814941300612</v>
      </c>
      <c r="F403" s="1998">
        <f>IF(Construction!$F$31=Construction!$R$22,Oeko!BS403,Oeko!EF403)</f>
        <v>1.0034712424683265</v>
      </c>
      <c r="G403" s="1998">
        <f>IF(Construction!$F$31=Construction!$R$22,Oeko!BT403,Oeko!EG403)</f>
        <v>1.0037638596020202</v>
      </c>
      <c r="H403" s="1998">
        <f>IF(Construction!$F$31=Construction!$R$22,Oeko!BU403,Oeko!EH403)</f>
        <v>1.0043806506191195</v>
      </c>
      <c r="I403" s="1979">
        <f>IF(Construction!$F$31=Construction!$R$22,Oeko!BV403,Oeko!EI403)</f>
        <v>1.0046961888428172</v>
      </c>
      <c r="J403" s="1979">
        <f>IF(Construction!$F$31=Construction!$R$22,Oeko!BW403,Oeko!EJ403)</f>
        <v>1.0050909808667492</v>
      </c>
      <c r="K403" s="1979">
        <f>IF(Construction!$F$31=Construction!$R$22,Oeko!BX403,Oeko!EK403)</f>
        <v>1.0055546319646227</v>
      </c>
      <c r="L403" s="1979">
        <f>IF(Construction!$F$31=Construction!$R$22,Oeko!BY403,Oeko!EL403)</f>
        <v>1.0060228736674257</v>
      </c>
      <c r="M403" s="1979">
        <f>IF(Construction!$F$31=Construction!$R$22,Oeko!BZ403,Oeko!EM403)</f>
        <v>1.0070098537272552</v>
      </c>
      <c r="N403" s="1998">
        <f>IF(Construction!$F$31=Construction!$R$22,Oeko!CA403,Oeko!EN403)</f>
        <v>1.0036040876025876</v>
      </c>
      <c r="O403" s="1998">
        <f>IF(Construction!$F$31=Construction!$R$22,Oeko!CB403,Oeko!EO403)</f>
        <v>1.0036040876025876</v>
      </c>
      <c r="P403" s="1998">
        <f>IF(Construction!$F$31=Construction!$R$22,Oeko!CC403,Oeko!EP403)</f>
        <v>1.0036040876025876</v>
      </c>
      <c r="Q403" s="1998">
        <f>IF(Construction!$F$31=Construction!$R$22,Oeko!CD403,Oeko!EQ403)</f>
        <v>1.0036040876025876</v>
      </c>
      <c r="R403" s="1998">
        <f>IF(Construction!$F$31=Construction!$R$22,Oeko!CE403,Oeko!ER403)</f>
        <v>1.0036040876025876</v>
      </c>
      <c r="S403" s="1979">
        <f>IF(Construction!$F$31=Construction!$R$22,Oeko!CF403,Oeko!ES403)</f>
        <v>1.0077735222800908</v>
      </c>
      <c r="T403" s="1979">
        <f>IF(Construction!$F$31=Construction!$R$22,Oeko!CG403,Oeko!ET403)</f>
        <v>1.0077735222800908</v>
      </c>
      <c r="U403" s="1979">
        <f>IF(Construction!$F$31=Construction!$R$22,Oeko!CH403,Oeko!EU403)</f>
        <v>1.0077735222800908</v>
      </c>
      <c r="V403" s="1979">
        <f>IF(Construction!$F$31=Construction!$R$22,Oeko!CI403,Oeko!EV403)</f>
        <v>1.0077735222800908</v>
      </c>
      <c r="W403" s="1979">
        <f>IF(Construction!$F$31=Construction!$R$22,Oeko!CJ403,Oeko!EW403)</f>
        <v>1.0077735222800908</v>
      </c>
      <c r="X403" s="1998">
        <f>IF(Construction!$F$31=Construction!$R$22,Oeko!CK403,Oeko!EX403)</f>
        <v>1.0031255616856052</v>
      </c>
      <c r="Y403" s="1998">
        <f>IF(Construction!$F$31=Construction!$R$22,Oeko!CL403,Oeko!EY403)</f>
        <v>1.0031255616856052</v>
      </c>
      <c r="Z403" s="1998">
        <f>IF(Construction!$F$31=Construction!$R$22,Oeko!CM403,Oeko!EZ403)</f>
        <v>1.0031255616856052</v>
      </c>
      <c r="AA403" s="1998">
        <f>IF(Construction!$F$31=Construction!$R$22,Oeko!CN403,Oeko!FA403)</f>
        <v>1.0031255616856052</v>
      </c>
      <c r="AB403" s="1998">
        <f>IF(Construction!$F$31=Construction!$R$22,Oeko!CO403,Oeko!FB403)</f>
        <v>1.0031255616856052</v>
      </c>
      <c r="AC403" s="1979">
        <f>IF(Construction!$F$31=Construction!$R$22,Oeko!CP403,Oeko!FC403)</f>
        <v>1.0033390811612208</v>
      </c>
      <c r="AD403" s="1979">
        <f>IF(Construction!$F$31=Construction!$R$22,Oeko!CQ403,Oeko!FD403)</f>
        <v>1.0033390811612208</v>
      </c>
      <c r="AE403" s="1979">
        <f>IF(Construction!$F$31=Construction!$R$22,Oeko!CR403,Oeko!FE403)</f>
        <v>1.0033390811612208</v>
      </c>
      <c r="AF403" s="1979">
        <f>IF(Construction!$F$31=Construction!$R$22,Oeko!CS403,Oeko!FF403)</f>
        <v>1.0033390811612208</v>
      </c>
      <c r="AG403" s="1979">
        <f>IF(Construction!$F$31=Construction!$R$22,Oeko!CT403,Oeko!FG403)</f>
        <v>1.0033390811612208</v>
      </c>
      <c r="AH403" s="1998">
        <f>IF(Construction!$F$31=Construction!$R$22,Oeko!CU403,Oeko!FH403)</f>
        <v>1.0077549010376949</v>
      </c>
      <c r="AI403" s="1998">
        <f>IF(Construction!$F$31=Construction!$R$22,Oeko!CV403,Oeko!FI403)</f>
        <v>1.0077549010376949</v>
      </c>
      <c r="AJ403" s="1998">
        <f>IF(Construction!$F$31=Construction!$R$22,Oeko!CW403,Oeko!FJ403)</f>
        <v>1.0077549010376949</v>
      </c>
      <c r="AK403" s="1998">
        <f>IF(Construction!$F$31=Construction!$R$22,Oeko!CX403,Oeko!FK403)</f>
        <v>1.0077549010376949</v>
      </c>
      <c r="AL403" s="1998">
        <f>IF(Construction!$F$31=Construction!$R$22,Oeko!CY403,Oeko!FL403)</f>
        <v>1.0077549010376949</v>
      </c>
      <c r="AM403" s="1979">
        <f>IF(Construction!$F$31=Construction!$R$22,Oeko!CZ403,Oeko!FM403)</f>
        <v>1.0012857121454113</v>
      </c>
      <c r="AN403" s="1979">
        <f>IF(Construction!$F$31=Construction!$R$22,Oeko!DA403,Oeko!FN403)</f>
        <v>1.0013937974284077</v>
      </c>
      <c r="AO403" s="1979">
        <f>IF(Construction!$F$31=Construction!$R$22,Oeko!DB403,Oeko!FO403)</f>
        <v>1.0015207347956478</v>
      </c>
      <c r="AP403" s="1979">
        <f>IF(Construction!$F$31=Construction!$R$22,Oeko!DC403,Oeko!FP403)</f>
        <v>1.001648928968504</v>
      </c>
      <c r="AQ403" s="1979">
        <f>IF(Construction!$F$31=Construction!$R$22,Oeko!DD403,Oeko!FQ403)</f>
        <v>1.0019191421759952</v>
      </c>
      <c r="AR403" s="1998">
        <f>IF(Construction!$F$31=Construction!$R$22,Oeko!DE403,Oeko!FR403)</f>
        <v>8.0766641971633586</v>
      </c>
      <c r="AS403" s="1998">
        <f>IF(Construction!$F$31=Construction!$R$22,Oeko!DF403,Oeko!FS403)</f>
        <v>8.0766641971633586</v>
      </c>
      <c r="AT403" s="1998">
        <f>IF(Construction!$F$31=Construction!$R$22,Oeko!DG403,Oeko!FT403)</f>
        <v>8.0766641971633586</v>
      </c>
      <c r="AU403" s="1998">
        <f>IF(Construction!$F$31=Construction!$R$22,Oeko!DH403,Oeko!FU403)</f>
        <v>8.0766641971633586</v>
      </c>
      <c r="AV403" s="1998">
        <f>IF(Construction!$F$31=Construction!$R$22,Oeko!DI403,Oeko!FV403)</f>
        <v>8.0766641971633586</v>
      </c>
      <c r="AW403" s="1979">
        <f>IF(Construction!$F$31=Construction!$R$22,Oeko!DJ403,Oeko!FW403)</f>
        <v>8.0617881123895678</v>
      </c>
      <c r="AX403" s="1979">
        <f>IF(Construction!$F$31=Construction!$R$22,Oeko!DK403,Oeko!FX403)</f>
        <v>8.0617881123895678</v>
      </c>
      <c r="AY403" s="1979">
        <f>IF(Construction!$F$31=Construction!$R$22,Oeko!DL403,Oeko!FY403)</f>
        <v>8.0617881123895678</v>
      </c>
      <c r="AZ403" s="1979">
        <f>IF(Construction!$F$31=Construction!$R$22,Oeko!DM403,Oeko!FZ403)</f>
        <v>8.0617881123895678</v>
      </c>
      <c r="BA403" s="1979">
        <f>IF(Construction!$F$31=Construction!$R$22,Oeko!DN403,Oeko!GA403)</f>
        <v>8.0617881123895678</v>
      </c>
      <c r="BB403" s="1998">
        <f>IF(Construction!$F$31=Construction!$R$22,Oeko!DO403,Oeko!GB403)</f>
        <v>0.98296448425351213</v>
      </c>
      <c r="BC403" s="1998">
        <f>IF(Construction!$F$31=Construction!$R$22,Oeko!DP403,Oeko!GC403)</f>
        <v>0.98296448425351213</v>
      </c>
      <c r="BD403" s="1998">
        <f>IF(Construction!$F$31=Construction!$R$22,Oeko!DQ403,Oeko!GD403)</f>
        <v>0.98296448425351213</v>
      </c>
      <c r="BE403" s="1998">
        <f>IF(Construction!$F$31=Construction!$R$22,Oeko!DR403,Oeko!GE403)</f>
        <v>0.98296448425351213</v>
      </c>
      <c r="BF403" s="1998">
        <f>IF(Construction!$F$31=Construction!$R$22,Oeko!DS403,Oeko!GF403)</f>
        <v>0.98296448425351213</v>
      </c>
      <c r="BG403" s="1979">
        <f>IF(Construction!$F$31=Construction!$R$22,Oeko!DT403,Oeko!GG403)</f>
        <v>0.98229073513726639</v>
      </c>
      <c r="BH403" s="1979">
        <f>IF(Construction!$F$31=Construction!$R$22,Oeko!DU403,Oeko!GH403)</f>
        <v>0.98229073513726639</v>
      </c>
      <c r="BI403" s="1979">
        <f>IF(Construction!$F$31=Construction!$R$22,Oeko!DV403,Oeko!GI403)</f>
        <v>0.98229073513726639</v>
      </c>
      <c r="BJ403" s="1979">
        <f>IF(Construction!$F$31=Construction!$R$22,Oeko!DW403,Oeko!GJ403)</f>
        <v>0.98229073513726639</v>
      </c>
      <c r="BK403" s="2021">
        <f>IF(Construction!$F$31=Construction!$R$22,Oeko!DX403,Oeko!GK403)</f>
        <v>0.98229073513726639</v>
      </c>
      <c r="BN403" s="2022"/>
      <c r="BO403" s="2">
        <v>19</v>
      </c>
      <c r="BP403" s="2" t="str">
        <f>CONCATENATE($U$8," ",GV$13)</f>
        <v xml:space="preserve">Proportion de fenêtres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Proportion de fenêtres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Proportion de fenêtres </v>
      </c>
      <c r="D404" s="1998">
        <f>IF(Construction!$F$31=Construction!$R$22,Oeko!BQ404,Oeko!ED404)</f>
        <v>1.0022010832924162</v>
      </c>
      <c r="E404" s="1998">
        <f>IF(Construction!$F$31=Construction!$R$22,Oeko!BR404,Oeko!EE404)</f>
        <v>1.0023861205975459</v>
      </c>
      <c r="F404" s="1998">
        <f>IF(Construction!$F$31=Construction!$R$22,Oeko!BS404,Oeko!EF404)</f>
        <v>1.0026034318512447</v>
      </c>
      <c r="G404" s="1998">
        <f>IF(Construction!$F$31=Construction!$R$22,Oeko!BT404,Oeko!EG404)</f>
        <v>1.002822894701515</v>
      </c>
      <c r="H404" s="1998">
        <f>IF(Construction!$F$31=Construction!$R$22,Oeko!BU404,Oeko!EH404)</f>
        <v>1.0032854879643398</v>
      </c>
      <c r="I404" s="1979">
        <f>IF(Construction!$F$31=Construction!$R$22,Oeko!BV404,Oeko!EI404)</f>
        <v>1.003522141632113</v>
      </c>
      <c r="J404" s="1979">
        <f>IF(Construction!$F$31=Construction!$R$22,Oeko!BW404,Oeko!EJ404)</f>
        <v>1.0038182356500618</v>
      </c>
      <c r="K404" s="1979">
        <f>IF(Construction!$F$31=Construction!$R$22,Oeko!BX404,Oeko!EK404)</f>
        <v>1.004165973973467</v>
      </c>
      <c r="L404" s="1979">
        <f>IF(Construction!$F$31=Construction!$R$22,Oeko!BY404,Oeko!EL404)</f>
        <v>1.0045171552505692</v>
      </c>
      <c r="M404" s="1979">
        <f>IF(Construction!$F$31=Construction!$R$22,Oeko!BZ404,Oeko!EM404)</f>
        <v>1.0052573902954414</v>
      </c>
      <c r="N404" s="1998">
        <f>IF(Construction!$F$31=Construction!$R$22,Oeko!CA404,Oeko!EN404)</f>
        <v>1.0027030657019407</v>
      </c>
      <c r="O404" s="1998">
        <f>IF(Construction!$F$31=Construction!$R$22,Oeko!CB404,Oeko!EO404)</f>
        <v>1.0027030657019407</v>
      </c>
      <c r="P404" s="1998">
        <f>IF(Construction!$F$31=Construction!$R$22,Oeko!CC404,Oeko!EP404)</f>
        <v>1.0027030657019407</v>
      </c>
      <c r="Q404" s="1998">
        <f>IF(Construction!$F$31=Construction!$R$22,Oeko!CD404,Oeko!EQ404)</f>
        <v>1.0027030657019407</v>
      </c>
      <c r="R404" s="1998">
        <f>IF(Construction!$F$31=Construction!$R$22,Oeko!CE404,Oeko!ER404)</f>
        <v>1.0027030657019407</v>
      </c>
      <c r="S404" s="1979">
        <f>IF(Construction!$F$31=Construction!$R$22,Oeko!CF404,Oeko!ES404)</f>
        <v>1.0058301417100681</v>
      </c>
      <c r="T404" s="1979">
        <f>IF(Construction!$F$31=Construction!$R$22,Oeko!CG404,Oeko!ET404)</f>
        <v>1.0058301417100681</v>
      </c>
      <c r="U404" s="1979">
        <f>IF(Construction!$F$31=Construction!$R$22,Oeko!CH404,Oeko!EU404)</f>
        <v>1.0058301417100681</v>
      </c>
      <c r="V404" s="1979">
        <f>IF(Construction!$F$31=Construction!$R$22,Oeko!CI404,Oeko!EV404)</f>
        <v>1.0058301417100681</v>
      </c>
      <c r="W404" s="1979">
        <f>IF(Construction!$F$31=Construction!$R$22,Oeko!CJ404,Oeko!EW404)</f>
        <v>1.0058301417100681</v>
      </c>
      <c r="X404" s="1998">
        <f>IF(Construction!$F$31=Construction!$R$22,Oeko!CK404,Oeko!EX404)</f>
        <v>1.0023441712642041</v>
      </c>
      <c r="Y404" s="1998">
        <f>IF(Construction!$F$31=Construction!$R$22,Oeko!CL404,Oeko!EY404)</f>
        <v>1.0023441712642041</v>
      </c>
      <c r="Z404" s="1998">
        <f>IF(Construction!$F$31=Construction!$R$22,Oeko!CM404,Oeko!EZ404)</f>
        <v>1.0023441712642041</v>
      </c>
      <c r="AA404" s="1998">
        <f>IF(Construction!$F$31=Construction!$R$22,Oeko!CN404,Oeko!FA404)</f>
        <v>1.0023441712642041</v>
      </c>
      <c r="AB404" s="1998">
        <f>IF(Construction!$F$31=Construction!$R$22,Oeko!CO404,Oeko!FB404)</f>
        <v>1.0023441712642041</v>
      </c>
      <c r="AC404" s="1979">
        <f>IF(Construction!$F$31=Construction!$R$22,Oeko!CP404,Oeko!FC404)</f>
        <v>1.0025043108709155</v>
      </c>
      <c r="AD404" s="1979">
        <f>IF(Construction!$F$31=Construction!$R$22,Oeko!CQ404,Oeko!FD404)</f>
        <v>1.0025043108709155</v>
      </c>
      <c r="AE404" s="1979">
        <f>IF(Construction!$F$31=Construction!$R$22,Oeko!CR404,Oeko!FE404)</f>
        <v>1.0025043108709155</v>
      </c>
      <c r="AF404" s="1979">
        <f>IF(Construction!$F$31=Construction!$R$22,Oeko!CS404,Oeko!FF404)</f>
        <v>1.0025043108709155</v>
      </c>
      <c r="AG404" s="1979">
        <f>IF(Construction!$F$31=Construction!$R$22,Oeko!CT404,Oeko!FG404)</f>
        <v>1.0025043108709155</v>
      </c>
      <c r="AH404" s="1998">
        <f>IF(Construction!$F$31=Construction!$R$22,Oeko!CU404,Oeko!FH404)</f>
        <v>1.0058161757782713</v>
      </c>
      <c r="AI404" s="1998">
        <f>IF(Construction!$F$31=Construction!$R$22,Oeko!CV404,Oeko!FI404)</f>
        <v>1.0058161757782713</v>
      </c>
      <c r="AJ404" s="1998">
        <f>IF(Construction!$F$31=Construction!$R$22,Oeko!CW404,Oeko!FJ404)</f>
        <v>1.0058161757782713</v>
      </c>
      <c r="AK404" s="1998">
        <f>IF(Construction!$F$31=Construction!$R$22,Oeko!CX404,Oeko!FK404)</f>
        <v>1.0058161757782713</v>
      </c>
      <c r="AL404" s="1998">
        <f>IF(Construction!$F$31=Construction!$R$22,Oeko!CY404,Oeko!FL404)</f>
        <v>1.0058161757782713</v>
      </c>
      <c r="AM404" s="1979">
        <f>IF(Construction!$F$31=Construction!$R$22,Oeko!CZ404,Oeko!FM404)</f>
        <v>1.0009642841090585</v>
      </c>
      <c r="AN404" s="1979">
        <f>IF(Construction!$F$31=Construction!$R$22,Oeko!DA404,Oeko!FN404)</f>
        <v>1.0010453480713057</v>
      </c>
      <c r="AO404" s="1979">
        <f>IF(Construction!$F$31=Construction!$R$22,Oeko!DB404,Oeko!FO404)</f>
        <v>1.0011405510967357</v>
      </c>
      <c r="AP404" s="1979">
        <f>IF(Construction!$F$31=Construction!$R$22,Oeko!DC404,Oeko!FP404)</f>
        <v>1.0012366967263782</v>
      </c>
      <c r="AQ404" s="1979">
        <f>IF(Construction!$F$31=Construction!$R$22,Oeko!DD404,Oeko!FQ404)</f>
        <v>1.0014393566319963</v>
      </c>
      <c r="AR404" s="1998">
        <f>IF(Construction!$F$31=Construction!$R$22,Oeko!DE404,Oeko!FR404)</f>
        <v>8.0697130893529057</v>
      </c>
      <c r="AS404" s="1998">
        <f>IF(Construction!$F$31=Construction!$R$22,Oeko!DF404,Oeko!FS404)</f>
        <v>8.0697130893529057</v>
      </c>
      <c r="AT404" s="1998">
        <f>IF(Construction!$F$31=Construction!$R$22,Oeko!DG404,Oeko!FT404)</f>
        <v>8.0697130893529057</v>
      </c>
      <c r="AU404" s="1998">
        <f>IF(Construction!$F$31=Construction!$R$22,Oeko!DH404,Oeko!FU404)</f>
        <v>8.0697130893529057</v>
      </c>
      <c r="AV404" s="1998">
        <f>IF(Construction!$F$31=Construction!$R$22,Oeko!DI404,Oeko!FV404)</f>
        <v>8.0697130893529057</v>
      </c>
      <c r="AW404" s="1979">
        <f>IF(Construction!$F$31=Construction!$R$22,Oeko!DJ404,Oeko!FW404)</f>
        <v>8.0545676260013526</v>
      </c>
      <c r="AX404" s="1979">
        <f>IF(Construction!$F$31=Construction!$R$22,Oeko!DK404,Oeko!FX404)</f>
        <v>8.0545676260013526</v>
      </c>
      <c r="AY404" s="1979">
        <f>IF(Construction!$F$31=Construction!$R$22,Oeko!DL404,Oeko!FY404)</f>
        <v>8.0545676260013526</v>
      </c>
      <c r="AZ404" s="1979">
        <f>IF(Construction!$F$31=Construction!$R$22,Oeko!DM404,Oeko!FZ404)</f>
        <v>8.0545676260013526</v>
      </c>
      <c r="BA404" s="1979">
        <f>IF(Construction!$F$31=Construction!$R$22,Oeko!DN404,Oeko!GA404)</f>
        <v>8.0545676260013526</v>
      </c>
      <c r="BB404" s="1998">
        <f>IF(Construction!$F$31=Construction!$R$22,Oeko!DO404,Oeko!GB404)</f>
        <v>0.98216251894316464</v>
      </c>
      <c r="BC404" s="1998">
        <f>IF(Construction!$F$31=Construction!$R$22,Oeko!DP404,Oeko!GC404)</f>
        <v>0.98216251894316464</v>
      </c>
      <c r="BD404" s="1998">
        <f>IF(Construction!$F$31=Construction!$R$22,Oeko!DQ404,Oeko!GD404)</f>
        <v>0.98216251894316464</v>
      </c>
      <c r="BE404" s="1998">
        <f>IF(Construction!$F$31=Construction!$R$22,Oeko!DR404,Oeko!GE404)</f>
        <v>0.98216251894316464</v>
      </c>
      <c r="BF404" s="1998">
        <f>IF(Construction!$F$31=Construction!$R$22,Oeko!DS404,Oeko!GF404)</f>
        <v>0.98216251894316464</v>
      </c>
      <c r="BG404" s="1979">
        <f>IF(Construction!$F$31=Construction!$R$22,Oeko!DT404,Oeko!GG404)</f>
        <v>0.98075524222249</v>
      </c>
      <c r="BH404" s="1979">
        <f>IF(Construction!$F$31=Construction!$R$22,Oeko!DU404,Oeko!GH404)</f>
        <v>0.98075524222249</v>
      </c>
      <c r="BI404" s="1979">
        <f>IF(Construction!$F$31=Construction!$R$22,Oeko!DV404,Oeko!GI404)</f>
        <v>0.98075524222249</v>
      </c>
      <c r="BJ404" s="1979">
        <f>IF(Construction!$F$31=Construction!$R$22,Oeko!DW404,Oeko!GJ404)</f>
        <v>0.98075524222249</v>
      </c>
      <c r="BK404" s="2021">
        <f>IF(Construction!$F$31=Construction!$R$22,Oeko!DX404,Oeko!GK404)</f>
        <v>0.98075524222249</v>
      </c>
      <c r="BN404" s="2022"/>
      <c r="BO404" s="2">
        <v>20</v>
      </c>
      <c r="BP404" s="2" t="str">
        <f>CONCATENATE($U$8," ",GV$14)</f>
        <v xml:space="preserve">Proportion de fenêtres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Proportion de fenêtres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Proportion de fenêtres </v>
      </c>
      <c r="D405" s="1998">
        <f>IF(Construction!$F$31=Construction!$R$22,Oeko!BQ405,Oeko!ED405)</f>
        <v>1.0014673888616106</v>
      </c>
      <c r="E405" s="1998">
        <f>IF(Construction!$F$31=Construction!$R$22,Oeko!BR405,Oeko!EE405)</f>
        <v>1.0015907470650305</v>
      </c>
      <c r="F405" s="1998">
        <f>IF(Construction!$F$31=Construction!$R$22,Oeko!BS405,Oeko!EF405)</f>
        <v>1.001735621234163</v>
      </c>
      <c r="G405" s="1998">
        <f>IF(Construction!$F$31=Construction!$R$22,Oeko!BT405,Oeko!EG405)</f>
        <v>1.00188192980101</v>
      </c>
      <c r="H405" s="1998">
        <f>IF(Construction!$F$31=Construction!$R$22,Oeko!BU405,Oeko!EH405)</f>
        <v>1.0021903253095596</v>
      </c>
      <c r="I405" s="1979">
        <f>IF(Construction!$F$31=Construction!$R$22,Oeko!BV405,Oeko!EI405)</f>
        <v>1.0023480944214087</v>
      </c>
      <c r="J405" s="1979">
        <f>IF(Construction!$F$31=Construction!$R$22,Oeko!BW405,Oeko!EJ405)</f>
        <v>1.0025454904333746</v>
      </c>
      <c r="K405" s="1979">
        <f>IF(Construction!$F$31=Construction!$R$22,Oeko!BX405,Oeko!EK405)</f>
        <v>1.0027773159823115</v>
      </c>
      <c r="L405" s="1979">
        <f>IF(Construction!$F$31=Construction!$R$22,Oeko!BY405,Oeko!EL405)</f>
        <v>1.0030114368337129</v>
      </c>
      <c r="M405" s="1979">
        <f>IF(Construction!$F$31=Construction!$R$22,Oeko!BZ405,Oeko!EM405)</f>
        <v>1.0035049268636276</v>
      </c>
      <c r="N405" s="1998">
        <f>IF(Construction!$F$31=Construction!$R$22,Oeko!CA405,Oeko!EN405)</f>
        <v>1.0018020438012938</v>
      </c>
      <c r="O405" s="1998">
        <f>IF(Construction!$F$31=Construction!$R$22,Oeko!CB405,Oeko!EO405)</f>
        <v>1.0018020438012938</v>
      </c>
      <c r="P405" s="1998">
        <f>IF(Construction!$F$31=Construction!$R$22,Oeko!CC405,Oeko!EP405)</f>
        <v>1.0018020438012938</v>
      </c>
      <c r="Q405" s="1998">
        <f>IF(Construction!$F$31=Construction!$R$22,Oeko!CD405,Oeko!EQ405)</f>
        <v>1.0018020438012938</v>
      </c>
      <c r="R405" s="1998">
        <f>IF(Construction!$F$31=Construction!$R$22,Oeko!CE405,Oeko!ER405)</f>
        <v>1.0018020438012938</v>
      </c>
      <c r="S405" s="1979">
        <f>IF(Construction!$F$31=Construction!$R$22,Oeko!CF405,Oeko!ES405)</f>
        <v>1.0038867611400453</v>
      </c>
      <c r="T405" s="1979">
        <f>IF(Construction!$F$31=Construction!$R$22,Oeko!CG405,Oeko!ET405)</f>
        <v>1.0038867611400453</v>
      </c>
      <c r="U405" s="1979">
        <f>IF(Construction!$F$31=Construction!$R$22,Oeko!CH405,Oeko!EU405)</f>
        <v>1.0038867611400453</v>
      </c>
      <c r="V405" s="1979">
        <f>IF(Construction!$F$31=Construction!$R$22,Oeko!CI405,Oeko!EV405)</f>
        <v>1.0038867611400453</v>
      </c>
      <c r="W405" s="1979">
        <f>IF(Construction!$F$31=Construction!$R$22,Oeko!CJ405,Oeko!EW405)</f>
        <v>1.0038867611400453</v>
      </c>
      <c r="X405" s="1998">
        <f>IF(Construction!$F$31=Construction!$R$22,Oeko!CK405,Oeko!EX405)</f>
        <v>1.0015627808428027</v>
      </c>
      <c r="Y405" s="1998">
        <f>IF(Construction!$F$31=Construction!$R$22,Oeko!CL405,Oeko!EY405)</f>
        <v>1.0015627808428027</v>
      </c>
      <c r="Z405" s="1998">
        <f>IF(Construction!$F$31=Construction!$R$22,Oeko!CM405,Oeko!EZ405)</f>
        <v>1.0015627808428027</v>
      </c>
      <c r="AA405" s="1998">
        <f>IF(Construction!$F$31=Construction!$R$22,Oeko!CN405,Oeko!FA405)</f>
        <v>1.0015627808428027</v>
      </c>
      <c r="AB405" s="1998">
        <f>IF(Construction!$F$31=Construction!$R$22,Oeko!CO405,Oeko!FB405)</f>
        <v>1.0015627808428027</v>
      </c>
      <c r="AC405" s="1979">
        <f>IF(Construction!$F$31=Construction!$R$22,Oeko!CP405,Oeko!FC405)</f>
        <v>1.0016695405806104</v>
      </c>
      <c r="AD405" s="1979">
        <f>IF(Construction!$F$31=Construction!$R$22,Oeko!CQ405,Oeko!FD405)</f>
        <v>1.0016695405806104</v>
      </c>
      <c r="AE405" s="1979">
        <f>IF(Construction!$F$31=Construction!$R$22,Oeko!CR405,Oeko!FE405)</f>
        <v>1.0016695405806104</v>
      </c>
      <c r="AF405" s="1979">
        <f>IF(Construction!$F$31=Construction!$R$22,Oeko!CS405,Oeko!FF405)</f>
        <v>1.0016695405806104</v>
      </c>
      <c r="AG405" s="1979">
        <f>IF(Construction!$F$31=Construction!$R$22,Oeko!CT405,Oeko!FG405)</f>
        <v>1.0016695405806104</v>
      </c>
      <c r="AH405" s="1998">
        <f>IF(Construction!$F$31=Construction!$R$22,Oeko!CU405,Oeko!FH405)</f>
        <v>1.0038774505188475</v>
      </c>
      <c r="AI405" s="1998">
        <f>IF(Construction!$F$31=Construction!$R$22,Oeko!CV405,Oeko!FI405)</f>
        <v>1.0038774505188475</v>
      </c>
      <c r="AJ405" s="1998">
        <f>IF(Construction!$F$31=Construction!$R$22,Oeko!CW405,Oeko!FJ405)</f>
        <v>1.0038774505188475</v>
      </c>
      <c r="AK405" s="1998">
        <f>IF(Construction!$F$31=Construction!$R$22,Oeko!CX405,Oeko!FK405)</f>
        <v>1.0038774505188475</v>
      </c>
      <c r="AL405" s="1998">
        <f>IF(Construction!$F$31=Construction!$R$22,Oeko!CY405,Oeko!FL405)</f>
        <v>1.0038774505188475</v>
      </c>
      <c r="AM405" s="1979">
        <f>IF(Construction!$F$31=Construction!$R$22,Oeko!CZ405,Oeko!FM405)</f>
        <v>1.0006428560727056</v>
      </c>
      <c r="AN405" s="1979">
        <f>IF(Construction!$F$31=Construction!$R$22,Oeko!DA405,Oeko!FN405)</f>
        <v>1.0006968987142038</v>
      </c>
      <c r="AO405" s="1979">
        <f>IF(Construction!$F$31=Construction!$R$22,Oeko!DB405,Oeko!FO405)</f>
        <v>1.000760367397824</v>
      </c>
      <c r="AP405" s="1979">
        <f>IF(Construction!$F$31=Construction!$R$22,Oeko!DC405,Oeko!FP405)</f>
        <v>1.0008244644842521</v>
      </c>
      <c r="AQ405" s="1979">
        <f>IF(Construction!$F$31=Construction!$R$22,Oeko!DD405,Oeko!FQ405)</f>
        <v>1.0009595710879975</v>
      </c>
      <c r="AR405" s="1998">
        <f>IF(Construction!$F$31=Construction!$R$22,Oeko!DE405,Oeko!FR405)</f>
        <v>8.0627619815424527</v>
      </c>
      <c r="AS405" s="1998">
        <f>IF(Construction!$F$31=Construction!$R$22,Oeko!DF405,Oeko!FS405)</f>
        <v>8.0627619815424527</v>
      </c>
      <c r="AT405" s="1998">
        <f>IF(Construction!$F$31=Construction!$R$22,Oeko!DG405,Oeko!FT405)</f>
        <v>8.0627619815424527</v>
      </c>
      <c r="AU405" s="1998">
        <f>IF(Construction!$F$31=Construction!$R$22,Oeko!DH405,Oeko!FU405)</f>
        <v>8.0627619815424527</v>
      </c>
      <c r="AV405" s="1998">
        <f>IF(Construction!$F$31=Construction!$R$22,Oeko!DI405,Oeko!FV405)</f>
        <v>8.0627619815424527</v>
      </c>
      <c r="AW405" s="1979">
        <f>IF(Construction!$F$31=Construction!$R$22,Oeko!DJ405,Oeko!FW405)</f>
        <v>8.0473471396131391</v>
      </c>
      <c r="AX405" s="1979">
        <f>IF(Construction!$F$31=Construction!$R$22,Oeko!DK405,Oeko!FX405)</f>
        <v>8.0473471396131391</v>
      </c>
      <c r="AY405" s="1979">
        <f>IF(Construction!$F$31=Construction!$R$22,Oeko!DL405,Oeko!FY405)</f>
        <v>8.0473471396131391</v>
      </c>
      <c r="AZ405" s="1979">
        <f>IF(Construction!$F$31=Construction!$R$22,Oeko!DM405,Oeko!FZ405)</f>
        <v>8.0473471396131391</v>
      </c>
      <c r="BA405" s="1979">
        <f>IF(Construction!$F$31=Construction!$R$22,Oeko!DN405,Oeko!GA405)</f>
        <v>8.0473471396131391</v>
      </c>
      <c r="BB405" s="1998">
        <f>IF(Construction!$F$31=Construction!$R$22,Oeko!DO405,Oeko!GB405)</f>
        <v>0.98136055363281693</v>
      </c>
      <c r="BC405" s="1998">
        <f>IF(Construction!$F$31=Construction!$R$22,Oeko!DP405,Oeko!GC405)</f>
        <v>0.98136055363281693</v>
      </c>
      <c r="BD405" s="1998">
        <f>IF(Construction!$F$31=Construction!$R$22,Oeko!DQ405,Oeko!GD405)</f>
        <v>0.98136055363281693</v>
      </c>
      <c r="BE405" s="1998">
        <f>IF(Construction!$F$31=Construction!$R$22,Oeko!DR405,Oeko!GE405)</f>
        <v>0.98136055363281693</v>
      </c>
      <c r="BF405" s="1998">
        <f>IF(Construction!$F$31=Construction!$R$22,Oeko!DS405,Oeko!GF405)</f>
        <v>0.98136055363281693</v>
      </c>
      <c r="BG405" s="1979">
        <f>IF(Construction!$F$31=Construction!$R$22,Oeko!DT405,Oeko!GG405)</f>
        <v>0.97921974930771361</v>
      </c>
      <c r="BH405" s="1979">
        <f>IF(Construction!$F$31=Construction!$R$22,Oeko!DU405,Oeko!GH405)</f>
        <v>0.97921974930771361</v>
      </c>
      <c r="BI405" s="1979">
        <f>IF(Construction!$F$31=Construction!$R$22,Oeko!DV405,Oeko!GI405)</f>
        <v>0.97921974930771361</v>
      </c>
      <c r="BJ405" s="1979">
        <f>IF(Construction!$F$31=Construction!$R$22,Oeko!DW405,Oeko!GJ405)</f>
        <v>0.97921974930771361</v>
      </c>
      <c r="BK405" s="2021">
        <f>IF(Construction!$F$31=Construction!$R$22,Oeko!DX405,Oeko!GK405)</f>
        <v>0.97921974930771361</v>
      </c>
      <c r="BN405" s="2022"/>
      <c r="BO405" s="2">
        <v>21</v>
      </c>
      <c r="BP405" s="2" t="str">
        <f>CONCATENATE($U$8," ",GV$15)</f>
        <v xml:space="preserve">Proportion de fenêtres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Proportion de fenêtres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Proportion de fenêtres </v>
      </c>
      <c r="D406" s="1998">
        <f>IF(Construction!$F$31=Construction!$R$22,Oeko!BQ406,Oeko!ED406)</f>
        <v>1.0007336944308054</v>
      </c>
      <c r="E406" s="1998">
        <f>IF(Construction!$F$31=Construction!$R$22,Oeko!BR406,Oeko!EE406)</f>
        <v>1.0007953735325152</v>
      </c>
      <c r="F406" s="1998">
        <f>IF(Construction!$F$31=Construction!$R$22,Oeko!BS406,Oeko!EF406)</f>
        <v>1.0008678106170814</v>
      </c>
      <c r="G406" s="1998">
        <f>IF(Construction!$F$31=Construction!$R$22,Oeko!BT406,Oeko!EG406)</f>
        <v>1.000940964900505</v>
      </c>
      <c r="H406" s="1998">
        <f>IF(Construction!$F$31=Construction!$R$22,Oeko!BU406,Oeko!EH406)</f>
        <v>1.0010951626547797</v>
      </c>
      <c r="I406" s="1979">
        <f>IF(Construction!$F$31=Construction!$R$22,Oeko!BV406,Oeko!EI406)</f>
        <v>1.0011740472107042</v>
      </c>
      <c r="J406" s="1979">
        <f>IF(Construction!$F$31=Construction!$R$22,Oeko!BW406,Oeko!EJ406)</f>
        <v>1.0012727452166872</v>
      </c>
      <c r="K406" s="1979">
        <f>IF(Construction!$F$31=Construction!$R$22,Oeko!BX406,Oeko!EK406)</f>
        <v>1.0013886579911557</v>
      </c>
      <c r="L406" s="1979">
        <f>IF(Construction!$F$31=Construction!$R$22,Oeko!BY406,Oeko!EL406)</f>
        <v>1.0015057184168563</v>
      </c>
      <c r="M406" s="1979">
        <f>IF(Construction!$F$31=Construction!$R$22,Oeko!BZ406,Oeko!EM406)</f>
        <v>1.0017524634318138</v>
      </c>
      <c r="N406" s="1998">
        <f>IF(Construction!$F$31=Construction!$R$22,Oeko!CA406,Oeko!EN406)</f>
        <v>1.0009010219006469</v>
      </c>
      <c r="O406" s="1998">
        <f>IF(Construction!$F$31=Construction!$R$22,Oeko!CB406,Oeko!EO406)</f>
        <v>1.0009010219006469</v>
      </c>
      <c r="P406" s="1998">
        <f>IF(Construction!$F$31=Construction!$R$22,Oeko!CC406,Oeko!EP406)</f>
        <v>1.0009010219006469</v>
      </c>
      <c r="Q406" s="1998">
        <f>IF(Construction!$F$31=Construction!$R$22,Oeko!CD406,Oeko!EQ406)</f>
        <v>1.0009010219006469</v>
      </c>
      <c r="R406" s="1998">
        <f>IF(Construction!$F$31=Construction!$R$22,Oeko!CE406,Oeko!ER406)</f>
        <v>1.0009010219006469</v>
      </c>
      <c r="S406" s="1979">
        <f>IF(Construction!$F$31=Construction!$R$22,Oeko!CF406,Oeko!ES406)</f>
        <v>1.0019433805700226</v>
      </c>
      <c r="T406" s="1979">
        <f>IF(Construction!$F$31=Construction!$R$22,Oeko!CG406,Oeko!ET406)</f>
        <v>1.0019433805700226</v>
      </c>
      <c r="U406" s="1979">
        <f>IF(Construction!$F$31=Construction!$R$22,Oeko!CH406,Oeko!EU406)</f>
        <v>1.0019433805700226</v>
      </c>
      <c r="V406" s="1979">
        <f>IF(Construction!$F$31=Construction!$R$22,Oeko!CI406,Oeko!EV406)</f>
        <v>1.0019433805700226</v>
      </c>
      <c r="W406" s="1979">
        <f>IF(Construction!$F$31=Construction!$R$22,Oeko!CJ406,Oeko!EW406)</f>
        <v>1.0019433805700226</v>
      </c>
      <c r="X406" s="1998">
        <f>IF(Construction!$F$31=Construction!$R$22,Oeko!CK406,Oeko!EX406)</f>
        <v>1.0007813904214011</v>
      </c>
      <c r="Y406" s="1998">
        <f>IF(Construction!$F$31=Construction!$R$22,Oeko!CL406,Oeko!EY406)</f>
        <v>1.0007813904214011</v>
      </c>
      <c r="Z406" s="1998">
        <f>IF(Construction!$F$31=Construction!$R$22,Oeko!CM406,Oeko!EZ406)</f>
        <v>1.0007813904214011</v>
      </c>
      <c r="AA406" s="1998">
        <f>IF(Construction!$F$31=Construction!$R$22,Oeko!CN406,Oeko!FA406)</f>
        <v>1.0007813904214011</v>
      </c>
      <c r="AB406" s="1998">
        <f>IF(Construction!$F$31=Construction!$R$22,Oeko!CO406,Oeko!FB406)</f>
        <v>1.0007813904214011</v>
      </c>
      <c r="AC406" s="1979">
        <f>IF(Construction!$F$31=Construction!$R$22,Oeko!CP406,Oeko!FC406)</f>
        <v>1.0008347702903053</v>
      </c>
      <c r="AD406" s="1979">
        <f>IF(Construction!$F$31=Construction!$R$22,Oeko!CQ406,Oeko!FD406)</f>
        <v>1.0008347702903053</v>
      </c>
      <c r="AE406" s="1979">
        <f>IF(Construction!$F$31=Construction!$R$22,Oeko!CR406,Oeko!FE406)</f>
        <v>1.0008347702903053</v>
      </c>
      <c r="AF406" s="1979">
        <f>IF(Construction!$F$31=Construction!$R$22,Oeko!CS406,Oeko!FF406)</f>
        <v>1.0008347702903053</v>
      </c>
      <c r="AG406" s="1979">
        <f>IF(Construction!$F$31=Construction!$R$22,Oeko!CT406,Oeko!FG406)</f>
        <v>1.0008347702903053</v>
      </c>
      <c r="AH406" s="1998">
        <f>IF(Construction!$F$31=Construction!$R$22,Oeko!CU406,Oeko!FH406)</f>
        <v>1.0019387252594236</v>
      </c>
      <c r="AI406" s="1998">
        <f>IF(Construction!$F$31=Construction!$R$22,Oeko!CV406,Oeko!FI406)</f>
        <v>1.0019387252594236</v>
      </c>
      <c r="AJ406" s="1998">
        <f>IF(Construction!$F$31=Construction!$R$22,Oeko!CW406,Oeko!FJ406)</f>
        <v>1.0019387252594236</v>
      </c>
      <c r="AK406" s="1998">
        <f>IF(Construction!$F$31=Construction!$R$22,Oeko!CX406,Oeko!FK406)</f>
        <v>1.0019387252594236</v>
      </c>
      <c r="AL406" s="1998">
        <f>IF(Construction!$F$31=Construction!$R$22,Oeko!CY406,Oeko!FL406)</f>
        <v>1.0019387252594236</v>
      </c>
      <c r="AM406" s="1979">
        <f>IF(Construction!$F$31=Construction!$R$22,Oeko!CZ406,Oeko!FM406)</f>
        <v>1.0003214280363526</v>
      </c>
      <c r="AN406" s="1979">
        <f>IF(Construction!$F$31=Construction!$R$22,Oeko!DA406,Oeko!FN406)</f>
        <v>1.000348449357102</v>
      </c>
      <c r="AO406" s="1979">
        <f>IF(Construction!$F$31=Construction!$R$22,Oeko!DB406,Oeko!FO406)</f>
        <v>1.0003801836989119</v>
      </c>
      <c r="AP406" s="1979">
        <f>IF(Construction!$F$31=Construction!$R$22,Oeko!DC406,Oeko!FP406)</f>
        <v>1.0004122322421261</v>
      </c>
      <c r="AQ406" s="1979">
        <f>IF(Construction!$F$31=Construction!$R$22,Oeko!DD406,Oeko!FQ406)</f>
        <v>1.0004797855439986</v>
      </c>
      <c r="AR406" s="1998">
        <f>IF(Construction!$F$31=Construction!$R$22,Oeko!DE406,Oeko!FR406)</f>
        <v>8.055810873731998</v>
      </c>
      <c r="AS406" s="1998">
        <f>IF(Construction!$F$31=Construction!$R$22,Oeko!DF406,Oeko!FS406)</f>
        <v>8.055810873731998</v>
      </c>
      <c r="AT406" s="1998">
        <f>IF(Construction!$F$31=Construction!$R$22,Oeko!DG406,Oeko!FT406)</f>
        <v>8.055810873731998</v>
      </c>
      <c r="AU406" s="1998">
        <f>IF(Construction!$F$31=Construction!$R$22,Oeko!DH406,Oeko!FU406)</f>
        <v>8.055810873731998</v>
      </c>
      <c r="AV406" s="1998">
        <f>IF(Construction!$F$31=Construction!$R$22,Oeko!DI406,Oeko!FV406)</f>
        <v>8.055810873731998</v>
      </c>
      <c r="AW406" s="1979">
        <f>IF(Construction!$F$31=Construction!$R$22,Oeko!DJ406,Oeko!FW406)</f>
        <v>8.0401266532249238</v>
      </c>
      <c r="AX406" s="1979">
        <f>IF(Construction!$F$31=Construction!$R$22,Oeko!DK406,Oeko!FX406)</f>
        <v>8.0401266532249238</v>
      </c>
      <c r="AY406" s="1979">
        <f>IF(Construction!$F$31=Construction!$R$22,Oeko!DL406,Oeko!FY406)</f>
        <v>8.0401266532249238</v>
      </c>
      <c r="AZ406" s="1979">
        <f>IF(Construction!$F$31=Construction!$R$22,Oeko!DM406,Oeko!FZ406)</f>
        <v>8.0401266532249238</v>
      </c>
      <c r="BA406" s="1979">
        <f>IF(Construction!$F$31=Construction!$R$22,Oeko!DN406,Oeko!GA406)</f>
        <v>8.0401266532249238</v>
      </c>
      <c r="BB406" s="1998">
        <f>IF(Construction!$F$31=Construction!$R$22,Oeko!DO406,Oeko!GB406)</f>
        <v>0.98055858832246945</v>
      </c>
      <c r="BC406" s="1998">
        <f>IF(Construction!$F$31=Construction!$R$22,Oeko!DP406,Oeko!GC406)</f>
        <v>0.98055858832246945</v>
      </c>
      <c r="BD406" s="1998">
        <f>IF(Construction!$F$31=Construction!$R$22,Oeko!DQ406,Oeko!GD406)</f>
        <v>0.98055858832246945</v>
      </c>
      <c r="BE406" s="1998">
        <f>IF(Construction!$F$31=Construction!$R$22,Oeko!DR406,Oeko!GE406)</f>
        <v>0.98055858832246945</v>
      </c>
      <c r="BF406" s="1998">
        <f>IF(Construction!$F$31=Construction!$R$22,Oeko!DS406,Oeko!GF406)</f>
        <v>0.98055858832246945</v>
      </c>
      <c r="BG406" s="1979">
        <f>IF(Construction!$F$31=Construction!$R$22,Oeko!DT406,Oeko!GG406)</f>
        <v>0.97768425639293721</v>
      </c>
      <c r="BH406" s="1979">
        <f>IF(Construction!$F$31=Construction!$R$22,Oeko!DU406,Oeko!GH406)</f>
        <v>0.97768425639293721</v>
      </c>
      <c r="BI406" s="1979">
        <f>IF(Construction!$F$31=Construction!$R$22,Oeko!DV406,Oeko!GI406)</f>
        <v>0.97768425639293721</v>
      </c>
      <c r="BJ406" s="1979">
        <f>IF(Construction!$F$31=Construction!$R$22,Oeko!DW406,Oeko!GJ406)</f>
        <v>0.97768425639293721</v>
      </c>
      <c r="BK406" s="2021">
        <f>IF(Construction!$F$31=Construction!$R$22,Oeko!DX406,Oeko!GK406)</f>
        <v>0.97768425639293721</v>
      </c>
      <c r="BN406" s="2022"/>
      <c r="BO406" s="2">
        <v>22</v>
      </c>
      <c r="BP406" s="2" t="str">
        <f>CONCATENATE($U$8," ",GV$16)</f>
        <v xml:space="preserve">Proportion de fenêtres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Proportion de fenêtres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Proportion de fenêtres </v>
      </c>
      <c r="D407" s="1998">
        <f>IF(Construction!$F$31=Construction!$R$22,Oeko!BQ407,Oeko!ED407)</f>
        <v>1</v>
      </c>
      <c r="E407" s="1998">
        <f>IF(Construction!$F$31=Construction!$R$22,Oeko!BR407,Oeko!EE407)</f>
        <v>1</v>
      </c>
      <c r="F407" s="1998">
        <f>IF(Construction!$F$31=Construction!$R$22,Oeko!BS407,Oeko!EF407)</f>
        <v>1</v>
      </c>
      <c r="G407" s="1998">
        <f>IF(Construction!$F$31=Construction!$R$22,Oeko!BT407,Oeko!EG407)</f>
        <v>1</v>
      </c>
      <c r="H407" s="1998">
        <f>IF(Construction!$F$31=Construction!$R$22,Oeko!BU407,Oeko!EH407)</f>
        <v>1</v>
      </c>
      <c r="I407" s="1979">
        <f>IF(Construction!$F$31=Construction!$R$22,Oeko!BV407,Oeko!EI407)</f>
        <v>1</v>
      </c>
      <c r="J407" s="1979">
        <f>IF(Construction!$F$31=Construction!$R$22,Oeko!BW407,Oeko!EJ407)</f>
        <v>1</v>
      </c>
      <c r="K407" s="1979">
        <f>IF(Construction!$F$31=Construction!$R$22,Oeko!BX407,Oeko!EK407)</f>
        <v>1</v>
      </c>
      <c r="L407" s="1979">
        <f>IF(Construction!$F$31=Construction!$R$22,Oeko!BY407,Oeko!EL407)</f>
        <v>1</v>
      </c>
      <c r="M407" s="1979">
        <f>IF(Construction!$F$31=Construction!$R$22,Oeko!BZ407,Oeko!EM407)</f>
        <v>1</v>
      </c>
      <c r="N407" s="1998">
        <f>IF(Construction!$F$31=Construction!$R$22,Oeko!CA407,Oeko!EN407)</f>
        <v>1</v>
      </c>
      <c r="O407" s="1998">
        <f>IF(Construction!$F$31=Construction!$R$22,Oeko!CB407,Oeko!EO407)</f>
        <v>1</v>
      </c>
      <c r="P407" s="1998">
        <f>IF(Construction!$F$31=Construction!$R$22,Oeko!CC407,Oeko!EP407)</f>
        <v>1</v>
      </c>
      <c r="Q407" s="1998">
        <f>IF(Construction!$F$31=Construction!$R$22,Oeko!CD407,Oeko!EQ407)</f>
        <v>1</v>
      </c>
      <c r="R407" s="1998">
        <f>IF(Construction!$F$31=Construction!$R$22,Oeko!CE407,Oeko!ER407)</f>
        <v>1</v>
      </c>
      <c r="S407" s="1979">
        <f>IF(Construction!$F$31=Construction!$R$22,Oeko!CF407,Oeko!ES407)</f>
        <v>1</v>
      </c>
      <c r="T407" s="1979">
        <f>IF(Construction!$F$31=Construction!$R$22,Oeko!CG407,Oeko!ET407)</f>
        <v>1</v>
      </c>
      <c r="U407" s="1979">
        <f>IF(Construction!$F$31=Construction!$R$22,Oeko!CH407,Oeko!EU407)</f>
        <v>1</v>
      </c>
      <c r="V407" s="1979">
        <f>IF(Construction!$F$31=Construction!$R$22,Oeko!CI407,Oeko!EV407)</f>
        <v>1</v>
      </c>
      <c r="W407" s="1979">
        <f>IF(Construction!$F$31=Construction!$R$22,Oeko!CJ407,Oeko!EW407)</f>
        <v>1</v>
      </c>
      <c r="X407" s="1998">
        <f>IF(Construction!$F$31=Construction!$R$22,Oeko!CK407,Oeko!EX407)</f>
        <v>1</v>
      </c>
      <c r="Y407" s="1998">
        <f>IF(Construction!$F$31=Construction!$R$22,Oeko!CL407,Oeko!EY407)</f>
        <v>1</v>
      </c>
      <c r="Z407" s="1998">
        <f>IF(Construction!$F$31=Construction!$R$22,Oeko!CM407,Oeko!EZ407)</f>
        <v>1</v>
      </c>
      <c r="AA407" s="1998">
        <f>IF(Construction!$F$31=Construction!$R$22,Oeko!CN407,Oeko!FA407)</f>
        <v>1</v>
      </c>
      <c r="AB407" s="1998">
        <f>IF(Construction!$F$31=Construction!$R$22,Oeko!CO407,Oeko!FB407)</f>
        <v>1</v>
      </c>
      <c r="AC407" s="1979">
        <f>IF(Construction!$F$31=Construction!$R$22,Oeko!CP407,Oeko!FC407)</f>
        <v>1</v>
      </c>
      <c r="AD407" s="1979">
        <f>IF(Construction!$F$31=Construction!$R$22,Oeko!CQ407,Oeko!FD407)</f>
        <v>1</v>
      </c>
      <c r="AE407" s="1979">
        <f>IF(Construction!$F$31=Construction!$R$22,Oeko!CR407,Oeko!FE407)</f>
        <v>1</v>
      </c>
      <c r="AF407" s="1979">
        <f>IF(Construction!$F$31=Construction!$R$22,Oeko!CS407,Oeko!FF407)</f>
        <v>1</v>
      </c>
      <c r="AG407" s="1979">
        <f>IF(Construction!$F$31=Construction!$R$22,Oeko!CT407,Oeko!FG407)</f>
        <v>1</v>
      </c>
      <c r="AH407" s="1998">
        <f>IF(Construction!$F$31=Construction!$R$22,Oeko!CU407,Oeko!FH407)</f>
        <v>1</v>
      </c>
      <c r="AI407" s="1998">
        <f>IF(Construction!$F$31=Construction!$R$22,Oeko!CV407,Oeko!FI407)</f>
        <v>1</v>
      </c>
      <c r="AJ407" s="1998">
        <f>IF(Construction!$F$31=Construction!$R$22,Oeko!CW407,Oeko!FJ407)</f>
        <v>1</v>
      </c>
      <c r="AK407" s="1998">
        <f>IF(Construction!$F$31=Construction!$R$22,Oeko!CX407,Oeko!FK407)</f>
        <v>1</v>
      </c>
      <c r="AL407" s="1998">
        <f>IF(Construction!$F$31=Construction!$R$22,Oeko!CY407,Oeko!FL407)</f>
        <v>1</v>
      </c>
      <c r="AM407" s="1979">
        <f>IF(Construction!$F$31=Construction!$R$22,Oeko!CZ407,Oeko!FM407)</f>
        <v>1</v>
      </c>
      <c r="AN407" s="1979">
        <f>IF(Construction!$F$31=Construction!$R$22,Oeko!DA407,Oeko!FN407)</f>
        <v>1</v>
      </c>
      <c r="AO407" s="1979">
        <f>IF(Construction!$F$31=Construction!$R$22,Oeko!DB407,Oeko!FO407)</f>
        <v>1</v>
      </c>
      <c r="AP407" s="1979">
        <f>IF(Construction!$F$31=Construction!$R$22,Oeko!DC407,Oeko!FP407)</f>
        <v>1</v>
      </c>
      <c r="AQ407" s="1979">
        <f>IF(Construction!$F$31=Construction!$R$22,Oeko!DD407,Oeko!FQ407)</f>
        <v>1</v>
      </c>
      <c r="AR407" s="1998">
        <f>IF(Construction!$F$31=Construction!$R$22,Oeko!DE407,Oeko!FR407)</f>
        <v>8.0488597659215451</v>
      </c>
      <c r="AS407" s="1998">
        <f>IF(Construction!$F$31=Construction!$R$22,Oeko!DF407,Oeko!FS407)</f>
        <v>8.0488597659215451</v>
      </c>
      <c r="AT407" s="1998">
        <f>IF(Construction!$F$31=Construction!$R$22,Oeko!DG407,Oeko!FT407)</f>
        <v>8.0488597659215451</v>
      </c>
      <c r="AU407" s="1998">
        <f>IF(Construction!$F$31=Construction!$R$22,Oeko!DH407,Oeko!FU407)</f>
        <v>8.0488597659215451</v>
      </c>
      <c r="AV407" s="1998">
        <f>IF(Construction!$F$31=Construction!$R$22,Oeko!DI407,Oeko!FV407)</f>
        <v>8.0488597659215451</v>
      </c>
      <c r="AW407" s="1979">
        <f>IF(Construction!$F$31=Construction!$R$22,Oeko!DJ407,Oeko!FW407)</f>
        <v>8.0329061668367086</v>
      </c>
      <c r="AX407" s="1979">
        <f>IF(Construction!$F$31=Construction!$R$22,Oeko!DK407,Oeko!FX407)</f>
        <v>8.0329061668367086</v>
      </c>
      <c r="AY407" s="1979">
        <f>IF(Construction!$F$31=Construction!$R$22,Oeko!DL407,Oeko!FY407)</f>
        <v>8.0329061668367086</v>
      </c>
      <c r="AZ407" s="1979">
        <f>IF(Construction!$F$31=Construction!$R$22,Oeko!DM407,Oeko!FZ407)</f>
        <v>8.0329061668367086</v>
      </c>
      <c r="BA407" s="1979">
        <f>IF(Construction!$F$31=Construction!$R$22,Oeko!DN407,Oeko!GA407)</f>
        <v>8.0329061668367086</v>
      </c>
      <c r="BB407" s="1998">
        <f>IF(Construction!$F$31=Construction!$R$22,Oeko!DO407,Oeko!GB407)</f>
        <v>0.97975662301212196</v>
      </c>
      <c r="BC407" s="1998">
        <f>IF(Construction!$F$31=Construction!$R$22,Oeko!DP407,Oeko!GC407)</f>
        <v>0.97975662301212196</v>
      </c>
      <c r="BD407" s="1998">
        <f>IF(Construction!$F$31=Construction!$R$22,Oeko!DQ407,Oeko!GD407)</f>
        <v>0.97975662301212196</v>
      </c>
      <c r="BE407" s="1998">
        <f>IF(Construction!$F$31=Construction!$R$22,Oeko!DR407,Oeko!GE407)</f>
        <v>0.97975662301212196</v>
      </c>
      <c r="BF407" s="1998">
        <f>IF(Construction!$F$31=Construction!$R$22,Oeko!DS407,Oeko!GF407)</f>
        <v>0.97975662301212196</v>
      </c>
      <c r="BG407" s="1979">
        <f>IF(Construction!$F$31=Construction!$R$22,Oeko!DT407,Oeko!GG407)</f>
        <v>0.97614876347816082</v>
      </c>
      <c r="BH407" s="1979">
        <f>IF(Construction!$F$31=Construction!$R$22,Oeko!DU407,Oeko!GH407)</f>
        <v>0.97614876347816082</v>
      </c>
      <c r="BI407" s="1979">
        <f>IF(Construction!$F$31=Construction!$R$22,Oeko!DV407,Oeko!GI407)</f>
        <v>0.97614876347816082</v>
      </c>
      <c r="BJ407" s="1979">
        <f>IF(Construction!$F$31=Construction!$R$22,Oeko!DW407,Oeko!GJ407)</f>
        <v>0.97614876347816082</v>
      </c>
      <c r="BK407" s="2021">
        <f>IF(Construction!$F$31=Construction!$R$22,Oeko!DX407,Oeko!GK407)</f>
        <v>0.97614876347816082</v>
      </c>
      <c r="BN407" s="2022"/>
      <c r="BO407" s="2">
        <v>23</v>
      </c>
      <c r="BP407" s="2" t="str">
        <f>CONCATENATE($U$8," ",GV$17)</f>
        <v xml:space="preserve">Proportion de fenêtres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Proportion de fenêtres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IF(Construction!$F$31=Construction!$R$22,Oeko!BQ408,Oeko!ED408)</f>
        <v>1</v>
      </c>
      <c r="E408" s="1998">
        <f>IF(Construction!$F$31=Construction!$R$22,Oeko!BR408,Oeko!EE408)</f>
        <v>1</v>
      </c>
      <c r="F408" s="1998">
        <f>IF(Construction!$F$31=Construction!$R$22,Oeko!BS408,Oeko!EF408)</f>
        <v>1</v>
      </c>
      <c r="G408" s="1998">
        <f>IF(Construction!$F$31=Construction!$R$22,Oeko!BT408,Oeko!EG408)</f>
        <v>1</v>
      </c>
      <c r="H408" s="1998">
        <f>IF(Construction!$F$31=Construction!$R$22,Oeko!BU408,Oeko!EH408)</f>
        <v>1</v>
      </c>
      <c r="I408" s="1979">
        <f>IF(Construction!$F$31=Construction!$R$22,Oeko!BV408,Oeko!EI408)</f>
        <v>1</v>
      </c>
      <c r="J408" s="1979">
        <f>IF(Construction!$F$31=Construction!$R$22,Oeko!BW408,Oeko!EJ408)</f>
        <v>1</v>
      </c>
      <c r="K408" s="1979">
        <f>IF(Construction!$F$31=Construction!$R$22,Oeko!BX408,Oeko!EK408)</f>
        <v>1</v>
      </c>
      <c r="L408" s="1979">
        <f>IF(Construction!$F$31=Construction!$R$22,Oeko!BY408,Oeko!EL408)</f>
        <v>1</v>
      </c>
      <c r="M408" s="1979">
        <f>IF(Construction!$F$31=Construction!$R$22,Oeko!BZ408,Oeko!EM408)</f>
        <v>1</v>
      </c>
      <c r="N408" s="1998">
        <f>IF(Construction!$F$31=Construction!$R$22,Oeko!CA408,Oeko!EN408)</f>
        <v>1.0000000000000002</v>
      </c>
      <c r="O408" s="1998">
        <f>IF(Construction!$F$31=Construction!$R$22,Oeko!CB408,Oeko!EO408)</f>
        <v>1.0000000000000002</v>
      </c>
      <c r="P408" s="1998">
        <f>IF(Construction!$F$31=Construction!$R$22,Oeko!CC408,Oeko!EP408)</f>
        <v>1.0000000000000002</v>
      </c>
      <c r="Q408" s="1998">
        <f>IF(Construction!$F$31=Construction!$R$22,Oeko!CD408,Oeko!EQ408)</f>
        <v>1.0000000000000002</v>
      </c>
      <c r="R408" s="1998">
        <f>IF(Construction!$F$31=Construction!$R$22,Oeko!CE408,Oeko!ER408)</f>
        <v>1.0000000000000002</v>
      </c>
      <c r="S408" s="1979">
        <f>IF(Construction!$F$31=Construction!$R$22,Oeko!CF408,Oeko!ES408)</f>
        <v>1</v>
      </c>
      <c r="T408" s="1979">
        <f>IF(Construction!$F$31=Construction!$R$22,Oeko!CG408,Oeko!ET408)</f>
        <v>1</v>
      </c>
      <c r="U408" s="1979">
        <f>IF(Construction!$F$31=Construction!$R$22,Oeko!CH408,Oeko!EU408)</f>
        <v>1</v>
      </c>
      <c r="V408" s="1979">
        <f>IF(Construction!$F$31=Construction!$R$22,Oeko!CI408,Oeko!EV408)</f>
        <v>1</v>
      </c>
      <c r="W408" s="1979">
        <f>IF(Construction!$F$31=Construction!$R$22,Oeko!CJ408,Oeko!EW408)</f>
        <v>1</v>
      </c>
      <c r="X408" s="1998">
        <f>IF(Construction!$F$31=Construction!$R$22,Oeko!CK408,Oeko!EX408)</f>
        <v>1</v>
      </c>
      <c r="Y408" s="1998">
        <f>IF(Construction!$F$31=Construction!$R$22,Oeko!CL408,Oeko!EY408)</f>
        <v>1</v>
      </c>
      <c r="Z408" s="1998">
        <f>IF(Construction!$F$31=Construction!$R$22,Oeko!CM408,Oeko!EZ408)</f>
        <v>1</v>
      </c>
      <c r="AA408" s="1998">
        <f>IF(Construction!$F$31=Construction!$R$22,Oeko!CN408,Oeko!FA408)</f>
        <v>1</v>
      </c>
      <c r="AB408" s="1998">
        <f>IF(Construction!$F$31=Construction!$R$22,Oeko!CO408,Oeko!FB408)</f>
        <v>1</v>
      </c>
      <c r="AC408" s="1979">
        <f>IF(Construction!$F$31=Construction!$R$22,Oeko!CP408,Oeko!FC408)</f>
        <v>1</v>
      </c>
      <c r="AD408" s="1979">
        <f>IF(Construction!$F$31=Construction!$R$22,Oeko!CQ408,Oeko!FD408)</f>
        <v>1</v>
      </c>
      <c r="AE408" s="1979">
        <f>IF(Construction!$F$31=Construction!$R$22,Oeko!CR408,Oeko!FE408)</f>
        <v>1</v>
      </c>
      <c r="AF408" s="1979">
        <f>IF(Construction!$F$31=Construction!$R$22,Oeko!CS408,Oeko!FF408)</f>
        <v>1</v>
      </c>
      <c r="AG408" s="1979">
        <f>IF(Construction!$F$31=Construction!$R$22,Oeko!CT408,Oeko!FG408)</f>
        <v>1</v>
      </c>
      <c r="AH408" s="1998">
        <f>IF(Construction!$F$31=Construction!$R$22,Oeko!CU408,Oeko!FH408)</f>
        <v>1</v>
      </c>
      <c r="AI408" s="1998">
        <f>IF(Construction!$F$31=Construction!$R$22,Oeko!CV408,Oeko!FI408)</f>
        <v>1</v>
      </c>
      <c r="AJ408" s="1998">
        <f>IF(Construction!$F$31=Construction!$R$22,Oeko!CW408,Oeko!FJ408)</f>
        <v>1</v>
      </c>
      <c r="AK408" s="1998">
        <f>IF(Construction!$F$31=Construction!$R$22,Oeko!CX408,Oeko!FK408)</f>
        <v>1</v>
      </c>
      <c r="AL408" s="1998">
        <f>IF(Construction!$F$31=Construction!$R$22,Oeko!CY408,Oeko!FL408)</f>
        <v>1</v>
      </c>
      <c r="AM408" s="1979">
        <f>IF(Construction!$F$31=Construction!$R$22,Oeko!CZ408,Oeko!FM408)</f>
        <v>0.66666666666666663</v>
      </c>
      <c r="AN408" s="1979">
        <f>IF(Construction!$F$31=Construction!$R$22,Oeko!DA408,Oeko!FN408)</f>
        <v>0.66666666666666663</v>
      </c>
      <c r="AO408" s="1979">
        <f>IF(Construction!$F$31=Construction!$R$22,Oeko!DB408,Oeko!FO408)</f>
        <v>0.66666666666666663</v>
      </c>
      <c r="AP408" s="1979">
        <f>IF(Construction!$F$31=Construction!$R$22,Oeko!DC408,Oeko!FP408)</f>
        <v>0.66666666666666663</v>
      </c>
      <c r="AQ408" s="1979">
        <f>IF(Construction!$F$31=Construction!$R$22,Oeko!DD408,Oeko!FQ408)</f>
        <v>0.66666666666666663</v>
      </c>
      <c r="AR408" s="1998">
        <f>IF(Construction!$F$31=Construction!$R$22,Oeko!DE408,Oeko!FR408)</f>
        <v>8.1914540462959007</v>
      </c>
      <c r="AS408" s="1998">
        <f>IF(Construction!$F$31=Construction!$R$22,Oeko!DF408,Oeko!FS408)</f>
        <v>8.1914540462959007</v>
      </c>
      <c r="AT408" s="1998">
        <f>IF(Construction!$F$31=Construction!$R$22,Oeko!DG408,Oeko!FT408)</f>
        <v>8.1914540462959007</v>
      </c>
      <c r="AU408" s="1998">
        <f>IF(Construction!$F$31=Construction!$R$22,Oeko!DH408,Oeko!FU408)</f>
        <v>8.1914540462959007</v>
      </c>
      <c r="AV408" s="1998">
        <f>IF(Construction!$F$31=Construction!$R$22,Oeko!DI408,Oeko!FV408)</f>
        <v>8.1914540462959007</v>
      </c>
      <c r="AW408" s="1979">
        <f>IF(Construction!$F$31=Construction!$R$22,Oeko!DJ408,Oeko!FW408)</f>
        <v>8.1771999062029916</v>
      </c>
      <c r="AX408" s="1979">
        <f>IF(Construction!$F$31=Construction!$R$22,Oeko!DK408,Oeko!FX408)</f>
        <v>8.1771999062029916</v>
      </c>
      <c r="AY408" s="1979">
        <f>IF(Construction!$F$31=Construction!$R$22,Oeko!DL408,Oeko!FY408)</f>
        <v>8.1771999062029916</v>
      </c>
      <c r="AZ408" s="1979">
        <f>IF(Construction!$F$31=Construction!$R$22,Oeko!DM408,Oeko!FZ408)</f>
        <v>8.1771999062029916</v>
      </c>
      <c r="BA408" s="1979">
        <f>IF(Construction!$F$31=Construction!$R$22,Oeko!DN408,Oeko!GA408)</f>
        <v>8.1771999062029916</v>
      </c>
      <c r="BB408" s="1998">
        <f>IF(Construction!$F$31=Construction!$R$22,Oeko!DO408,Oeko!GB408)</f>
        <v>1</v>
      </c>
      <c r="BC408" s="1998">
        <f>IF(Construction!$F$31=Construction!$R$22,Oeko!DP408,Oeko!GC408)</f>
        <v>1</v>
      </c>
      <c r="BD408" s="1998">
        <f>IF(Construction!$F$31=Construction!$R$22,Oeko!DQ408,Oeko!GD408)</f>
        <v>1</v>
      </c>
      <c r="BE408" s="1998">
        <f>IF(Construction!$F$31=Construction!$R$22,Oeko!DR408,Oeko!GE408)</f>
        <v>1</v>
      </c>
      <c r="BF408" s="1998">
        <f>IF(Construction!$F$31=Construction!$R$22,Oeko!DS408,Oeko!GF408)</f>
        <v>1</v>
      </c>
      <c r="BG408" s="1979">
        <f>IF(Construction!$F$31=Construction!$R$22,Oeko!DT408,Oeko!GG408)</f>
        <v>1</v>
      </c>
      <c r="BH408" s="1979">
        <f>IF(Construction!$F$31=Construction!$R$22,Oeko!DU408,Oeko!GH408)</f>
        <v>1</v>
      </c>
      <c r="BI408" s="1979">
        <f>IF(Construction!$F$31=Construction!$R$22,Oeko!DV408,Oeko!GI408)</f>
        <v>1</v>
      </c>
      <c r="BJ408" s="1979">
        <f>IF(Construction!$F$31=Construction!$R$22,Oeko!DW408,Oeko!GJ408)</f>
        <v>1</v>
      </c>
      <c r="BK408" s="2021">
        <f>IF(Construction!$F$31=Construction!$R$22,Oeko!DX408,Oeko!GK408)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IF(Construction!$F$31=Construction!$R$22,Oeko!BQ409,Oeko!ED409)</f>
        <v>1</v>
      </c>
      <c r="E409" s="1998">
        <f>IF(Construction!$F$31=Construction!$R$22,Oeko!BR409,Oeko!EE409)</f>
        <v>1</v>
      </c>
      <c r="F409" s="1998">
        <f>IF(Construction!$F$31=Construction!$R$22,Oeko!BS409,Oeko!EF409)</f>
        <v>1</v>
      </c>
      <c r="G409" s="1998">
        <f>IF(Construction!$F$31=Construction!$R$22,Oeko!BT409,Oeko!EG409)</f>
        <v>1</v>
      </c>
      <c r="H409" s="1998">
        <f>IF(Construction!$F$31=Construction!$R$22,Oeko!BU409,Oeko!EH409)</f>
        <v>1</v>
      </c>
      <c r="I409" s="1979">
        <f>IF(Construction!$F$31=Construction!$R$22,Oeko!BV409,Oeko!EI409)</f>
        <v>1</v>
      </c>
      <c r="J409" s="1979">
        <f>IF(Construction!$F$31=Construction!$R$22,Oeko!BW409,Oeko!EJ409)</f>
        <v>1</v>
      </c>
      <c r="K409" s="1979">
        <f>IF(Construction!$F$31=Construction!$R$22,Oeko!BX409,Oeko!EK409)</f>
        <v>1</v>
      </c>
      <c r="L409" s="1979">
        <f>IF(Construction!$F$31=Construction!$R$22,Oeko!BY409,Oeko!EL409)</f>
        <v>1</v>
      </c>
      <c r="M409" s="1979">
        <f>IF(Construction!$F$31=Construction!$R$22,Oeko!BZ409,Oeko!EM409)</f>
        <v>1</v>
      </c>
      <c r="N409" s="1998">
        <f>IF(Construction!$F$31=Construction!$R$22,Oeko!CA409,Oeko!EN409)</f>
        <v>1</v>
      </c>
      <c r="O409" s="1998">
        <f>IF(Construction!$F$31=Construction!$R$22,Oeko!CB409,Oeko!EO409)</f>
        <v>1</v>
      </c>
      <c r="P409" s="1998">
        <f>IF(Construction!$F$31=Construction!$R$22,Oeko!CC409,Oeko!EP409)</f>
        <v>1</v>
      </c>
      <c r="Q409" s="1998">
        <f>IF(Construction!$F$31=Construction!$R$22,Oeko!CD409,Oeko!EQ409)</f>
        <v>1</v>
      </c>
      <c r="R409" s="1998">
        <f>IF(Construction!$F$31=Construction!$R$22,Oeko!CE409,Oeko!ER409)</f>
        <v>1</v>
      </c>
      <c r="S409" s="1979">
        <f>IF(Construction!$F$31=Construction!$R$22,Oeko!CF409,Oeko!ES409)</f>
        <v>1.0000000000000002</v>
      </c>
      <c r="T409" s="1979">
        <f>IF(Construction!$F$31=Construction!$R$22,Oeko!CG409,Oeko!ET409)</f>
        <v>1.0000000000000002</v>
      </c>
      <c r="U409" s="1979">
        <f>IF(Construction!$F$31=Construction!$R$22,Oeko!CH409,Oeko!EU409)</f>
        <v>1.0000000000000002</v>
      </c>
      <c r="V409" s="1979">
        <f>IF(Construction!$F$31=Construction!$R$22,Oeko!CI409,Oeko!EV409)</f>
        <v>1.0000000000000002</v>
      </c>
      <c r="W409" s="1979">
        <f>IF(Construction!$F$31=Construction!$R$22,Oeko!CJ409,Oeko!EW409)</f>
        <v>1.0000000000000002</v>
      </c>
      <c r="X409" s="1998">
        <f>IF(Construction!$F$31=Construction!$R$22,Oeko!CK409,Oeko!EX409)</f>
        <v>1</v>
      </c>
      <c r="Y409" s="1998">
        <f>IF(Construction!$F$31=Construction!$R$22,Oeko!CL409,Oeko!EY409)</f>
        <v>1</v>
      </c>
      <c r="Z409" s="1998">
        <f>IF(Construction!$F$31=Construction!$R$22,Oeko!CM409,Oeko!EZ409)</f>
        <v>1</v>
      </c>
      <c r="AA409" s="1998">
        <f>IF(Construction!$F$31=Construction!$R$22,Oeko!CN409,Oeko!FA409)</f>
        <v>1</v>
      </c>
      <c r="AB409" s="1998">
        <f>IF(Construction!$F$31=Construction!$R$22,Oeko!CO409,Oeko!FB409)</f>
        <v>1</v>
      </c>
      <c r="AC409" s="1979">
        <f>IF(Construction!$F$31=Construction!$R$22,Oeko!CP409,Oeko!FC409)</f>
        <v>1</v>
      </c>
      <c r="AD409" s="1979">
        <f>IF(Construction!$F$31=Construction!$R$22,Oeko!CQ409,Oeko!FD409)</f>
        <v>1</v>
      </c>
      <c r="AE409" s="1979">
        <f>IF(Construction!$F$31=Construction!$R$22,Oeko!CR409,Oeko!FE409)</f>
        <v>1</v>
      </c>
      <c r="AF409" s="1979">
        <f>IF(Construction!$F$31=Construction!$R$22,Oeko!CS409,Oeko!FF409)</f>
        <v>1</v>
      </c>
      <c r="AG409" s="1979">
        <f>IF(Construction!$F$31=Construction!$R$22,Oeko!CT409,Oeko!FG409)</f>
        <v>1</v>
      </c>
      <c r="AH409" s="1998">
        <f>IF(Construction!$F$31=Construction!$R$22,Oeko!CU409,Oeko!FH409)</f>
        <v>1</v>
      </c>
      <c r="AI409" s="1998">
        <f>IF(Construction!$F$31=Construction!$R$22,Oeko!CV409,Oeko!FI409)</f>
        <v>1</v>
      </c>
      <c r="AJ409" s="1998">
        <f>IF(Construction!$F$31=Construction!$R$22,Oeko!CW409,Oeko!FJ409)</f>
        <v>1</v>
      </c>
      <c r="AK409" s="1998">
        <f>IF(Construction!$F$31=Construction!$R$22,Oeko!CX409,Oeko!FK409)</f>
        <v>1</v>
      </c>
      <c r="AL409" s="1998">
        <f>IF(Construction!$F$31=Construction!$R$22,Oeko!CY409,Oeko!FL409)</f>
        <v>1</v>
      </c>
      <c r="AM409" s="1979">
        <f>IF(Construction!$F$31=Construction!$R$22,Oeko!CZ409,Oeko!FM409)</f>
        <v>0.66666666666666663</v>
      </c>
      <c r="AN409" s="1979">
        <f>IF(Construction!$F$31=Construction!$R$22,Oeko!DA409,Oeko!FN409)</f>
        <v>0.66666666666666663</v>
      </c>
      <c r="AO409" s="1979">
        <f>IF(Construction!$F$31=Construction!$R$22,Oeko!DB409,Oeko!FO409)</f>
        <v>0.66666666666666663</v>
      </c>
      <c r="AP409" s="1979">
        <f>IF(Construction!$F$31=Construction!$R$22,Oeko!DC409,Oeko!FP409)</f>
        <v>0.66666666666666663</v>
      </c>
      <c r="AQ409" s="1979">
        <f>IF(Construction!$F$31=Construction!$R$22,Oeko!DD409,Oeko!FQ409)</f>
        <v>0.66666666666666663</v>
      </c>
      <c r="AR409" s="1998">
        <f>IF(Construction!$F$31=Construction!$R$22,Oeko!DE409,Oeko!FR409)</f>
        <v>6.393590534721926</v>
      </c>
      <c r="AS409" s="1998">
        <f>IF(Construction!$F$31=Construction!$R$22,Oeko!DF409,Oeko!FS409)</f>
        <v>6.393590534721926</v>
      </c>
      <c r="AT409" s="1998">
        <f>IF(Construction!$F$31=Construction!$R$22,Oeko!DG409,Oeko!FT409)</f>
        <v>6.393590534721926</v>
      </c>
      <c r="AU409" s="1998">
        <f>IF(Construction!$F$31=Construction!$R$22,Oeko!DH409,Oeko!FU409)</f>
        <v>6.393590534721926</v>
      </c>
      <c r="AV409" s="1998">
        <f>IF(Construction!$F$31=Construction!$R$22,Oeko!DI409,Oeko!FV409)</f>
        <v>6.393590534721926</v>
      </c>
      <c r="AW409" s="1979">
        <f>IF(Construction!$F$31=Construction!$R$22,Oeko!DJ409,Oeko!FW409)</f>
        <v>6.3828999296522442</v>
      </c>
      <c r="AX409" s="1979">
        <f>IF(Construction!$F$31=Construction!$R$22,Oeko!DK409,Oeko!FX409)</f>
        <v>6.3828999296522442</v>
      </c>
      <c r="AY409" s="1979">
        <f>IF(Construction!$F$31=Construction!$R$22,Oeko!DL409,Oeko!FY409)</f>
        <v>6.3828999296522442</v>
      </c>
      <c r="AZ409" s="1979">
        <f>IF(Construction!$F$31=Construction!$R$22,Oeko!DM409,Oeko!FZ409)</f>
        <v>6.3828999296522442</v>
      </c>
      <c r="BA409" s="1979">
        <f>IF(Construction!$F$31=Construction!$R$22,Oeko!DN409,Oeko!GA409)</f>
        <v>6.3828999296522442</v>
      </c>
      <c r="BB409" s="1998">
        <f>IF(Construction!$F$31=Construction!$R$22,Oeko!DO409,Oeko!GB409)</f>
        <v>0.78115301620803501</v>
      </c>
      <c r="BC409" s="1998">
        <f>IF(Construction!$F$31=Construction!$R$22,Oeko!DP409,Oeko!GC409)</f>
        <v>0.78115301620803501</v>
      </c>
      <c r="BD409" s="1998">
        <f>IF(Construction!$F$31=Construction!$R$22,Oeko!DQ409,Oeko!GD409)</f>
        <v>0.78115301620803501</v>
      </c>
      <c r="BE409" s="1998">
        <f>IF(Construction!$F$31=Construction!$R$22,Oeko!DR409,Oeko!GE409)</f>
        <v>0.78115301620803501</v>
      </c>
      <c r="BF409" s="1998">
        <f>IF(Construction!$F$31=Construction!$R$22,Oeko!DS409,Oeko!GF409)</f>
        <v>0.78115301620803501</v>
      </c>
      <c r="BG409" s="1979">
        <f>IF(Construction!$F$31=Construction!$R$22,Oeko!DT409,Oeko!GG409)</f>
        <v>0.78195889917775152</v>
      </c>
      <c r="BH409" s="1979">
        <f>IF(Construction!$F$31=Construction!$R$22,Oeko!DU409,Oeko!GH409)</f>
        <v>0.78195889917775152</v>
      </c>
      <c r="BI409" s="1979">
        <f>IF(Construction!$F$31=Construction!$R$22,Oeko!DV409,Oeko!GI409)</f>
        <v>0.78195889917775152</v>
      </c>
      <c r="BJ409" s="1979">
        <f>IF(Construction!$F$31=Construction!$R$22,Oeko!DW409,Oeko!GJ409)</f>
        <v>0.78195889917775152</v>
      </c>
      <c r="BK409" s="2021">
        <f>IF(Construction!$F$31=Construction!$R$22,Oeko!DX409,Oeko!GK409)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IF(Construction!$F$31=Construction!$R$22,Oeko!BQ410,Oeko!ED410)</f>
        <v>1</v>
      </c>
      <c r="E410" s="1998">
        <f>IF(Construction!$F$31=Construction!$R$22,Oeko!BR410,Oeko!EE410)</f>
        <v>1</v>
      </c>
      <c r="F410" s="1998">
        <f>IF(Construction!$F$31=Construction!$R$22,Oeko!BS410,Oeko!EF410)</f>
        <v>1</v>
      </c>
      <c r="G410" s="1998">
        <f>IF(Construction!$F$31=Construction!$R$22,Oeko!BT410,Oeko!EG410)</f>
        <v>1</v>
      </c>
      <c r="H410" s="1998">
        <f>IF(Construction!$F$31=Construction!$R$22,Oeko!BU410,Oeko!EH410)</f>
        <v>1</v>
      </c>
      <c r="I410" s="1979">
        <f>IF(Construction!$F$31=Construction!$R$22,Oeko!BV410,Oeko!EI410)</f>
        <v>1</v>
      </c>
      <c r="J410" s="1979">
        <f>IF(Construction!$F$31=Construction!$R$22,Oeko!BW410,Oeko!EJ410)</f>
        <v>1</v>
      </c>
      <c r="K410" s="1979">
        <f>IF(Construction!$F$31=Construction!$R$22,Oeko!BX410,Oeko!EK410)</f>
        <v>1</v>
      </c>
      <c r="L410" s="1979">
        <f>IF(Construction!$F$31=Construction!$R$22,Oeko!BY410,Oeko!EL410)</f>
        <v>1</v>
      </c>
      <c r="M410" s="1979">
        <f>IF(Construction!$F$31=Construction!$R$22,Oeko!BZ410,Oeko!EM410)</f>
        <v>1</v>
      </c>
      <c r="N410" s="1998">
        <f>IF(Construction!$F$31=Construction!$R$22,Oeko!CA410,Oeko!EN410)</f>
        <v>1</v>
      </c>
      <c r="O410" s="1998">
        <f>IF(Construction!$F$31=Construction!$R$22,Oeko!CB410,Oeko!EO410)</f>
        <v>1</v>
      </c>
      <c r="P410" s="1998">
        <f>IF(Construction!$F$31=Construction!$R$22,Oeko!CC410,Oeko!EP410)</f>
        <v>1</v>
      </c>
      <c r="Q410" s="1998">
        <f>IF(Construction!$F$31=Construction!$R$22,Oeko!CD410,Oeko!EQ410)</f>
        <v>1</v>
      </c>
      <c r="R410" s="1998">
        <f>IF(Construction!$F$31=Construction!$R$22,Oeko!CE410,Oeko!ER410)</f>
        <v>1</v>
      </c>
      <c r="S410" s="1979">
        <f>IF(Construction!$F$31=Construction!$R$22,Oeko!CF410,Oeko!ES410)</f>
        <v>1</v>
      </c>
      <c r="T410" s="1979">
        <f>IF(Construction!$F$31=Construction!$R$22,Oeko!CG410,Oeko!ET410)</f>
        <v>1</v>
      </c>
      <c r="U410" s="1979">
        <f>IF(Construction!$F$31=Construction!$R$22,Oeko!CH410,Oeko!EU410)</f>
        <v>1</v>
      </c>
      <c r="V410" s="1979">
        <f>IF(Construction!$F$31=Construction!$R$22,Oeko!CI410,Oeko!EV410)</f>
        <v>1</v>
      </c>
      <c r="W410" s="1979">
        <f>IF(Construction!$F$31=Construction!$R$22,Oeko!CJ410,Oeko!EW410)</f>
        <v>1</v>
      </c>
      <c r="X410" s="1998">
        <f>IF(Construction!$F$31=Construction!$R$22,Oeko!CK410,Oeko!EX410)</f>
        <v>1</v>
      </c>
      <c r="Y410" s="1998">
        <f>IF(Construction!$F$31=Construction!$R$22,Oeko!CL410,Oeko!EY410)</f>
        <v>1</v>
      </c>
      <c r="Z410" s="1998">
        <f>IF(Construction!$F$31=Construction!$R$22,Oeko!CM410,Oeko!EZ410)</f>
        <v>1</v>
      </c>
      <c r="AA410" s="1998">
        <f>IF(Construction!$F$31=Construction!$R$22,Oeko!CN410,Oeko!FA410)</f>
        <v>1</v>
      </c>
      <c r="AB410" s="1998">
        <f>IF(Construction!$F$31=Construction!$R$22,Oeko!CO410,Oeko!FB410)</f>
        <v>1</v>
      </c>
      <c r="AC410" s="1979">
        <f>IF(Construction!$F$31=Construction!$R$22,Oeko!CP410,Oeko!FC410)</f>
        <v>1</v>
      </c>
      <c r="AD410" s="1979">
        <f>IF(Construction!$F$31=Construction!$R$22,Oeko!CQ410,Oeko!FD410)</f>
        <v>1</v>
      </c>
      <c r="AE410" s="1979">
        <f>IF(Construction!$F$31=Construction!$R$22,Oeko!CR410,Oeko!FE410)</f>
        <v>1</v>
      </c>
      <c r="AF410" s="1979">
        <f>IF(Construction!$F$31=Construction!$R$22,Oeko!CS410,Oeko!FF410)</f>
        <v>1</v>
      </c>
      <c r="AG410" s="1979">
        <f>IF(Construction!$F$31=Construction!$R$22,Oeko!CT410,Oeko!FG410)</f>
        <v>1</v>
      </c>
      <c r="AH410" s="1998">
        <f>IF(Construction!$F$31=Construction!$R$22,Oeko!CU410,Oeko!FH410)</f>
        <v>1</v>
      </c>
      <c r="AI410" s="1998">
        <f>IF(Construction!$F$31=Construction!$R$22,Oeko!CV410,Oeko!FI410)</f>
        <v>1</v>
      </c>
      <c r="AJ410" s="1998">
        <f>IF(Construction!$F$31=Construction!$R$22,Oeko!CW410,Oeko!FJ410)</f>
        <v>1</v>
      </c>
      <c r="AK410" s="1998">
        <f>IF(Construction!$F$31=Construction!$R$22,Oeko!CX410,Oeko!FK410)</f>
        <v>1</v>
      </c>
      <c r="AL410" s="1998">
        <f>IF(Construction!$F$31=Construction!$R$22,Oeko!CY410,Oeko!FL410)</f>
        <v>1</v>
      </c>
      <c r="AM410" s="1979">
        <f>IF(Construction!$F$31=Construction!$R$22,Oeko!CZ410,Oeko!FM410)</f>
        <v>1</v>
      </c>
      <c r="AN410" s="1979">
        <f>IF(Construction!$F$31=Construction!$R$22,Oeko!DA410,Oeko!FN410)</f>
        <v>1</v>
      </c>
      <c r="AO410" s="1979">
        <f>IF(Construction!$F$31=Construction!$R$22,Oeko!DB410,Oeko!FO410)</f>
        <v>1</v>
      </c>
      <c r="AP410" s="1979">
        <f>IF(Construction!$F$31=Construction!$R$22,Oeko!DC410,Oeko!FP410)</f>
        <v>1</v>
      </c>
      <c r="AQ410" s="1979">
        <f>IF(Construction!$F$31=Construction!$R$22,Oeko!DD410,Oeko!FQ410)</f>
        <v>1</v>
      </c>
      <c r="AR410" s="1998">
        <f>IF(Construction!$F$31=Construction!$R$22,Oeko!DE410,Oeko!FR410)</f>
        <v>1</v>
      </c>
      <c r="AS410" s="1998">
        <f>IF(Construction!$F$31=Construction!$R$22,Oeko!DF410,Oeko!FS410)</f>
        <v>1</v>
      </c>
      <c r="AT410" s="1998">
        <f>IF(Construction!$F$31=Construction!$R$22,Oeko!DG410,Oeko!FT410)</f>
        <v>1</v>
      </c>
      <c r="AU410" s="1998">
        <f>IF(Construction!$F$31=Construction!$R$22,Oeko!DH410,Oeko!FU410)</f>
        <v>1</v>
      </c>
      <c r="AV410" s="1998">
        <f>IF(Construction!$F$31=Construction!$R$22,Oeko!DI410,Oeko!FV410)</f>
        <v>1</v>
      </c>
      <c r="AW410" s="1979">
        <f>IF(Construction!$F$31=Construction!$R$22,Oeko!DJ410,Oeko!FW410)</f>
        <v>1</v>
      </c>
      <c r="AX410" s="1979">
        <f>IF(Construction!$F$31=Construction!$R$22,Oeko!DK410,Oeko!FX410)</f>
        <v>1</v>
      </c>
      <c r="AY410" s="1979">
        <f>IF(Construction!$F$31=Construction!$R$22,Oeko!DL410,Oeko!FY410)</f>
        <v>1</v>
      </c>
      <c r="AZ410" s="1979">
        <f>IF(Construction!$F$31=Construction!$R$22,Oeko!DM410,Oeko!FZ410)</f>
        <v>1</v>
      </c>
      <c r="BA410" s="1979">
        <f>IF(Construction!$F$31=Construction!$R$22,Oeko!DN410,Oeko!GA410)</f>
        <v>1</v>
      </c>
      <c r="BB410" s="1998">
        <f>IF(Construction!$F$31=Construction!$R$22,Oeko!DO410,Oeko!GB410)</f>
        <v>0.12461206483213953</v>
      </c>
      <c r="BC410" s="1998">
        <f>IF(Construction!$F$31=Construction!$R$22,Oeko!DP410,Oeko!GC410)</f>
        <v>0.12461206483213953</v>
      </c>
      <c r="BD410" s="1998">
        <f>IF(Construction!$F$31=Construction!$R$22,Oeko!DQ410,Oeko!GD410)</f>
        <v>0.12461206483213953</v>
      </c>
      <c r="BE410" s="1998">
        <f>IF(Construction!$F$31=Construction!$R$22,Oeko!DR410,Oeko!GE410)</f>
        <v>0.12461206483213953</v>
      </c>
      <c r="BF410" s="1998">
        <f>IF(Construction!$F$31=Construction!$R$22,Oeko!DS410,Oeko!GF410)</f>
        <v>0.12461206483213953</v>
      </c>
      <c r="BG410" s="1979">
        <f>IF(Construction!$F$31=Construction!$R$22,Oeko!DT410,Oeko!GG410)</f>
        <v>0.12783559671100567</v>
      </c>
      <c r="BH410" s="1979">
        <f>IF(Construction!$F$31=Construction!$R$22,Oeko!DU410,Oeko!GH410)</f>
        <v>0.12783559671100567</v>
      </c>
      <c r="BI410" s="1979">
        <f>IF(Construction!$F$31=Construction!$R$22,Oeko!DV410,Oeko!GI410)</f>
        <v>0.12783559671100567</v>
      </c>
      <c r="BJ410" s="1979">
        <f>IF(Construction!$F$31=Construction!$R$22,Oeko!DW410,Oeko!GJ410)</f>
        <v>0.12783559671100567</v>
      </c>
      <c r="BK410" s="2021">
        <f>IF(Construction!$F$31=Construction!$R$22,Oeko!DX410,Oeko!GK410)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IF(Construction!$F$31=Construction!$R$22,Oeko!BQ411,Oeko!ED411)</f>
        <v>1</v>
      </c>
      <c r="E411" s="1998">
        <f>IF(Construction!$F$31=Construction!$R$22,Oeko!BR411,Oeko!EE411)</f>
        <v>1</v>
      </c>
      <c r="F411" s="1998">
        <f>IF(Construction!$F$31=Construction!$R$22,Oeko!BS411,Oeko!EF411)</f>
        <v>1</v>
      </c>
      <c r="G411" s="1998">
        <f>IF(Construction!$F$31=Construction!$R$22,Oeko!BT411,Oeko!EG411)</f>
        <v>1</v>
      </c>
      <c r="H411" s="1998">
        <f>IF(Construction!$F$31=Construction!$R$22,Oeko!BU411,Oeko!EH411)</f>
        <v>1</v>
      </c>
      <c r="I411" s="1979">
        <f>IF(Construction!$F$31=Construction!$R$22,Oeko!BV411,Oeko!EI411)</f>
        <v>1</v>
      </c>
      <c r="J411" s="1979">
        <f>IF(Construction!$F$31=Construction!$R$22,Oeko!BW411,Oeko!EJ411)</f>
        <v>1</v>
      </c>
      <c r="K411" s="1979">
        <f>IF(Construction!$F$31=Construction!$R$22,Oeko!BX411,Oeko!EK411)</f>
        <v>1</v>
      </c>
      <c r="L411" s="1979">
        <f>IF(Construction!$F$31=Construction!$R$22,Oeko!BY411,Oeko!EL411)</f>
        <v>1</v>
      </c>
      <c r="M411" s="1979">
        <f>IF(Construction!$F$31=Construction!$R$22,Oeko!BZ411,Oeko!EM411)</f>
        <v>1</v>
      </c>
      <c r="N411" s="1998">
        <f>IF(Construction!$F$31=Construction!$R$22,Oeko!CA411,Oeko!EN411)</f>
        <v>1</v>
      </c>
      <c r="O411" s="1998">
        <f>IF(Construction!$F$31=Construction!$R$22,Oeko!CB411,Oeko!EO411)</f>
        <v>1</v>
      </c>
      <c r="P411" s="1998">
        <f>IF(Construction!$F$31=Construction!$R$22,Oeko!CC411,Oeko!EP411)</f>
        <v>1</v>
      </c>
      <c r="Q411" s="1998">
        <f>IF(Construction!$F$31=Construction!$R$22,Oeko!CD411,Oeko!EQ411)</f>
        <v>1</v>
      </c>
      <c r="R411" s="1998">
        <f>IF(Construction!$F$31=Construction!$R$22,Oeko!CE411,Oeko!ER411)</f>
        <v>1</v>
      </c>
      <c r="S411" s="1979">
        <f>IF(Construction!$F$31=Construction!$R$22,Oeko!CF411,Oeko!ES411)</f>
        <v>1</v>
      </c>
      <c r="T411" s="1979">
        <f>IF(Construction!$F$31=Construction!$R$22,Oeko!CG411,Oeko!ET411)</f>
        <v>1</v>
      </c>
      <c r="U411" s="1979">
        <f>IF(Construction!$F$31=Construction!$R$22,Oeko!CH411,Oeko!EU411)</f>
        <v>1</v>
      </c>
      <c r="V411" s="1979">
        <f>IF(Construction!$F$31=Construction!$R$22,Oeko!CI411,Oeko!EV411)</f>
        <v>1</v>
      </c>
      <c r="W411" s="1979">
        <f>IF(Construction!$F$31=Construction!$R$22,Oeko!CJ411,Oeko!EW411)</f>
        <v>1</v>
      </c>
      <c r="X411" s="1998">
        <f>IF(Construction!$F$31=Construction!$R$22,Oeko!CK411,Oeko!EX411)</f>
        <v>1</v>
      </c>
      <c r="Y411" s="1998">
        <f>IF(Construction!$F$31=Construction!$R$22,Oeko!CL411,Oeko!EY411)</f>
        <v>1</v>
      </c>
      <c r="Z411" s="1998">
        <f>IF(Construction!$F$31=Construction!$R$22,Oeko!CM411,Oeko!EZ411)</f>
        <v>1</v>
      </c>
      <c r="AA411" s="1998">
        <f>IF(Construction!$F$31=Construction!$R$22,Oeko!CN411,Oeko!FA411)</f>
        <v>1</v>
      </c>
      <c r="AB411" s="1998">
        <f>IF(Construction!$F$31=Construction!$R$22,Oeko!CO411,Oeko!FB411)</f>
        <v>1</v>
      </c>
      <c r="AC411" s="1979">
        <f>IF(Construction!$F$31=Construction!$R$22,Oeko!CP411,Oeko!FC411)</f>
        <v>1</v>
      </c>
      <c r="AD411" s="1979">
        <f>IF(Construction!$F$31=Construction!$R$22,Oeko!CQ411,Oeko!FD411)</f>
        <v>1</v>
      </c>
      <c r="AE411" s="1979">
        <f>IF(Construction!$F$31=Construction!$R$22,Oeko!CR411,Oeko!FE411)</f>
        <v>1</v>
      </c>
      <c r="AF411" s="1979">
        <f>IF(Construction!$F$31=Construction!$R$22,Oeko!CS411,Oeko!FF411)</f>
        <v>1</v>
      </c>
      <c r="AG411" s="1979">
        <f>IF(Construction!$F$31=Construction!$R$22,Oeko!CT411,Oeko!FG411)</f>
        <v>1</v>
      </c>
      <c r="AH411" s="1998">
        <f>IF(Construction!$F$31=Construction!$R$22,Oeko!CU411,Oeko!FH411)</f>
        <v>1</v>
      </c>
      <c r="AI411" s="1998">
        <f>IF(Construction!$F$31=Construction!$R$22,Oeko!CV411,Oeko!FI411)</f>
        <v>1</v>
      </c>
      <c r="AJ411" s="1998">
        <f>IF(Construction!$F$31=Construction!$R$22,Oeko!CW411,Oeko!FJ411)</f>
        <v>1</v>
      </c>
      <c r="AK411" s="1998">
        <f>IF(Construction!$F$31=Construction!$R$22,Oeko!CX411,Oeko!FK411)</f>
        <v>1</v>
      </c>
      <c r="AL411" s="1998">
        <f>IF(Construction!$F$31=Construction!$R$22,Oeko!CY411,Oeko!FL411)</f>
        <v>1</v>
      </c>
      <c r="AM411" s="1979">
        <f>IF(Construction!$F$31=Construction!$R$22,Oeko!CZ411,Oeko!FM411)</f>
        <v>1.1666666666666665</v>
      </c>
      <c r="AN411" s="1979">
        <f>IF(Construction!$F$31=Construction!$R$22,Oeko!DA411,Oeko!FN411)</f>
        <v>1.1666666666666665</v>
      </c>
      <c r="AO411" s="1979">
        <f>IF(Construction!$F$31=Construction!$R$22,Oeko!DB411,Oeko!FO411)</f>
        <v>1.1666666666666665</v>
      </c>
      <c r="AP411" s="1979">
        <f>IF(Construction!$F$31=Construction!$R$22,Oeko!DC411,Oeko!FP411)</f>
        <v>1.1666666666666665</v>
      </c>
      <c r="AQ411" s="1979">
        <f>IF(Construction!$F$31=Construction!$R$22,Oeko!DD411,Oeko!FQ411)</f>
        <v>1.1666666666666665</v>
      </c>
      <c r="AR411" s="1998">
        <f>IF(Construction!$F$31=Construction!$R$22,Oeko!DE411,Oeko!FR411)</f>
        <v>1</v>
      </c>
      <c r="AS411" s="1998">
        <f>IF(Construction!$F$31=Construction!$R$22,Oeko!DF411,Oeko!FS411)</f>
        <v>1</v>
      </c>
      <c r="AT411" s="1998">
        <f>IF(Construction!$F$31=Construction!$R$22,Oeko!DG411,Oeko!FT411)</f>
        <v>1</v>
      </c>
      <c r="AU411" s="1998">
        <f>IF(Construction!$F$31=Construction!$R$22,Oeko!DH411,Oeko!FU411)</f>
        <v>1</v>
      </c>
      <c r="AV411" s="1998">
        <f>IF(Construction!$F$31=Construction!$R$22,Oeko!DI411,Oeko!FV411)</f>
        <v>1</v>
      </c>
      <c r="AW411" s="1979">
        <f>IF(Construction!$F$31=Construction!$R$22,Oeko!DJ411,Oeko!FW411)</f>
        <v>1</v>
      </c>
      <c r="AX411" s="1979">
        <f>IF(Construction!$F$31=Construction!$R$22,Oeko!DK411,Oeko!FX411)</f>
        <v>1</v>
      </c>
      <c r="AY411" s="1979">
        <f>IF(Construction!$F$31=Construction!$R$22,Oeko!DL411,Oeko!FY411)</f>
        <v>1</v>
      </c>
      <c r="AZ411" s="1979">
        <f>IF(Construction!$F$31=Construction!$R$22,Oeko!DM411,Oeko!FZ411)</f>
        <v>1</v>
      </c>
      <c r="BA411" s="1979">
        <f>IF(Construction!$F$31=Construction!$R$22,Oeko!DN411,Oeko!GA411)</f>
        <v>1</v>
      </c>
      <c r="BB411" s="1998">
        <f>IF(Construction!$F$31=Construction!$R$22,Oeko!DO411,Oeko!GB411)</f>
        <v>0.12461206483213953</v>
      </c>
      <c r="BC411" s="1998">
        <f>IF(Construction!$F$31=Construction!$R$22,Oeko!DP411,Oeko!GC411)</f>
        <v>0.12461206483213953</v>
      </c>
      <c r="BD411" s="1998">
        <f>IF(Construction!$F$31=Construction!$R$22,Oeko!DQ411,Oeko!GD411)</f>
        <v>0.12461206483213953</v>
      </c>
      <c r="BE411" s="1998">
        <f>IF(Construction!$F$31=Construction!$R$22,Oeko!DR411,Oeko!GE411)</f>
        <v>0.12461206483213953</v>
      </c>
      <c r="BF411" s="1998">
        <f>IF(Construction!$F$31=Construction!$R$22,Oeko!DS411,Oeko!GF411)</f>
        <v>0.12461206483213953</v>
      </c>
      <c r="BG411" s="1979">
        <f>IF(Construction!$F$31=Construction!$R$22,Oeko!DT411,Oeko!GG411)</f>
        <v>0.12783559671100567</v>
      </c>
      <c r="BH411" s="1979">
        <f>IF(Construction!$F$31=Construction!$R$22,Oeko!DU411,Oeko!GH411)</f>
        <v>0.12783559671100567</v>
      </c>
      <c r="BI411" s="1979">
        <f>IF(Construction!$F$31=Construction!$R$22,Oeko!DV411,Oeko!GI411)</f>
        <v>0.12783559671100567</v>
      </c>
      <c r="BJ411" s="1979">
        <f>IF(Construction!$F$31=Construction!$R$22,Oeko!DW411,Oeko!GJ411)</f>
        <v>0.12783559671100567</v>
      </c>
      <c r="BK411" s="2021">
        <f>IF(Construction!$F$31=Construction!$R$22,Oeko!DX411,Oeko!GK411)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IF(Construction!$F$31=Construction!$R$22,Oeko!BQ412,Oeko!ED412)</f>
        <v>1.3333333333333333</v>
      </c>
      <c r="E412" s="1998">
        <f>IF(Construction!$F$31=Construction!$R$22,Oeko!BR412,Oeko!EE412)</f>
        <v>1.3333333333333333</v>
      </c>
      <c r="F412" s="1998">
        <f>IF(Construction!$F$31=Construction!$R$22,Oeko!BS412,Oeko!EF412)</f>
        <v>1.3333333333333333</v>
      </c>
      <c r="G412" s="1998">
        <f>IF(Construction!$F$31=Construction!$R$22,Oeko!BT412,Oeko!EG412)</f>
        <v>1.3333333333333333</v>
      </c>
      <c r="H412" s="1998">
        <f>IF(Construction!$F$31=Construction!$R$22,Oeko!BU412,Oeko!EH412)</f>
        <v>1.3333333333333333</v>
      </c>
      <c r="I412" s="1979">
        <f>IF(Construction!$F$31=Construction!$R$22,Oeko!BV412,Oeko!EI412)</f>
        <v>1</v>
      </c>
      <c r="J412" s="1979">
        <f>IF(Construction!$F$31=Construction!$R$22,Oeko!BW412,Oeko!EJ412)</f>
        <v>1</v>
      </c>
      <c r="K412" s="1979">
        <f>IF(Construction!$F$31=Construction!$R$22,Oeko!BX412,Oeko!EK412)</f>
        <v>1</v>
      </c>
      <c r="L412" s="1979">
        <f>IF(Construction!$F$31=Construction!$R$22,Oeko!BY412,Oeko!EL412)</f>
        <v>1</v>
      </c>
      <c r="M412" s="1979">
        <f>IF(Construction!$F$31=Construction!$R$22,Oeko!BZ412,Oeko!EM412)</f>
        <v>1</v>
      </c>
      <c r="N412" s="1998">
        <f>IF(Construction!$F$31=Construction!$R$22,Oeko!CA412,Oeko!EN412)</f>
        <v>1</v>
      </c>
      <c r="O412" s="1998">
        <f>IF(Construction!$F$31=Construction!$R$22,Oeko!CB412,Oeko!EO412)</f>
        <v>1</v>
      </c>
      <c r="P412" s="1998">
        <f>IF(Construction!$F$31=Construction!$R$22,Oeko!CC412,Oeko!EP412)</f>
        <v>1</v>
      </c>
      <c r="Q412" s="1998">
        <f>IF(Construction!$F$31=Construction!$R$22,Oeko!CD412,Oeko!EQ412)</f>
        <v>1</v>
      </c>
      <c r="R412" s="1998">
        <f>IF(Construction!$F$31=Construction!$R$22,Oeko!CE412,Oeko!ER412)</f>
        <v>1</v>
      </c>
      <c r="S412" s="1979">
        <f>IF(Construction!$F$31=Construction!$R$22,Oeko!CF412,Oeko!ES412)</f>
        <v>1</v>
      </c>
      <c r="T412" s="1979">
        <f>IF(Construction!$F$31=Construction!$R$22,Oeko!CG412,Oeko!ET412)</f>
        <v>1</v>
      </c>
      <c r="U412" s="1979">
        <f>IF(Construction!$F$31=Construction!$R$22,Oeko!CH412,Oeko!EU412)</f>
        <v>1</v>
      </c>
      <c r="V412" s="1979">
        <f>IF(Construction!$F$31=Construction!$R$22,Oeko!CI412,Oeko!EV412)</f>
        <v>1</v>
      </c>
      <c r="W412" s="1979">
        <f>IF(Construction!$F$31=Construction!$R$22,Oeko!CJ412,Oeko!EW412)</f>
        <v>1</v>
      </c>
      <c r="X412" s="1998">
        <f>IF(Construction!$F$31=Construction!$R$22,Oeko!CK412,Oeko!EX412)</f>
        <v>1</v>
      </c>
      <c r="Y412" s="1998">
        <f>IF(Construction!$F$31=Construction!$R$22,Oeko!CL412,Oeko!EY412)</f>
        <v>1</v>
      </c>
      <c r="Z412" s="1998">
        <f>IF(Construction!$F$31=Construction!$R$22,Oeko!CM412,Oeko!EZ412)</f>
        <v>1</v>
      </c>
      <c r="AA412" s="1998">
        <f>IF(Construction!$F$31=Construction!$R$22,Oeko!CN412,Oeko!FA412)</f>
        <v>1</v>
      </c>
      <c r="AB412" s="1998">
        <f>IF(Construction!$F$31=Construction!$R$22,Oeko!CO412,Oeko!FB412)</f>
        <v>1</v>
      </c>
      <c r="AC412" s="1979">
        <f>IF(Construction!$F$31=Construction!$R$22,Oeko!CP412,Oeko!FC412)</f>
        <v>1</v>
      </c>
      <c r="AD412" s="1979">
        <f>IF(Construction!$F$31=Construction!$R$22,Oeko!CQ412,Oeko!FD412)</f>
        <v>1</v>
      </c>
      <c r="AE412" s="1979">
        <f>IF(Construction!$F$31=Construction!$R$22,Oeko!CR412,Oeko!FE412)</f>
        <v>1</v>
      </c>
      <c r="AF412" s="1979">
        <f>IF(Construction!$F$31=Construction!$R$22,Oeko!CS412,Oeko!FF412)</f>
        <v>1</v>
      </c>
      <c r="AG412" s="1979">
        <f>IF(Construction!$F$31=Construction!$R$22,Oeko!CT412,Oeko!FG412)</f>
        <v>1</v>
      </c>
      <c r="AH412" s="1998">
        <f>IF(Construction!$F$31=Construction!$R$22,Oeko!CU412,Oeko!FH412)</f>
        <v>1</v>
      </c>
      <c r="AI412" s="1998">
        <f>IF(Construction!$F$31=Construction!$R$22,Oeko!CV412,Oeko!FI412)</f>
        <v>1</v>
      </c>
      <c r="AJ412" s="1998">
        <f>IF(Construction!$F$31=Construction!$R$22,Oeko!CW412,Oeko!FJ412)</f>
        <v>1</v>
      </c>
      <c r="AK412" s="1998">
        <f>IF(Construction!$F$31=Construction!$R$22,Oeko!CX412,Oeko!FK412)</f>
        <v>1</v>
      </c>
      <c r="AL412" s="1998">
        <f>IF(Construction!$F$31=Construction!$R$22,Oeko!CY412,Oeko!FL412)</f>
        <v>1</v>
      </c>
      <c r="AM412" s="1979">
        <f>IF(Construction!$F$31=Construction!$R$22,Oeko!CZ412,Oeko!FM412)</f>
        <v>1.3333333333333333</v>
      </c>
      <c r="AN412" s="1979">
        <f>IF(Construction!$F$31=Construction!$R$22,Oeko!DA412,Oeko!FN412)</f>
        <v>1.3333333333333333</v>
      </c>
      <c r="AO412" s="1979">
        <f>IF(Construction!$F$31=Construction!$R$22,Oeko!DB412,Oeko!FO412)</f>
        <v>1.3333333333333333</v>
      </c>
      <c r="AP412" s="1979">
        <f>IF(Construction!$F$31=Construction!$R$22,Oeko!DC412,Oeko!FP412)</f>
        <v>1.3333333333333333</v>
      </c>
      <c r="AQ412" s="1979">
        <f>IF(Construction!$F$31=Construction!$R$22,Oeko!DD412,Oeko!FQ412)</f>
        <v>1.3333333333333333</v>
      </c>
      <c r="AR412" s="1998">
        <f>IF(Construction!$F$31=Construction!$R$22,Oeko!DE412,Oeko!FR412)</f>
        <v>1</v>
      </c>
      <c r="AS412" s="1998">
        <f>IF(Construction!$F$31=Construction!$R$22,Oeko!DF412,Oeko!FS412)</f>
        <v>1</v>
      </c>
      <c r="AT412" s="1998">
        <f>IF(Construction!$F$31=Construction!$R$22,Oeko!DG412,Oeko!FT412)</f>
        <v>1</v>
      </c>
      <c r="AU412" s="1998">
        <f>IF(Construction!$F$31=Construction!$R$22,Oeko!DH412,Oeko!FU412)</f>
        <v>1</v>
      </c>
      <c r="AV412" s="1998">
        <f>IF(Construction!$F$31=Construction!$R$22,Oeko!DI412,Oeko!FV412)</f>
        <v>1</v>
      </c>
      <c r="AW412" s="1979">
        <f>IF(Construction!$F$31=Construction!$R$22,Oeko!DJ412,Oeko!FW412)</f>
        <v>1</v>
      </c>
      <c r="AX412" s="1979">
        <f>IF(Construction!$F$31=Construction!$R$22,Oeko!DK412,Oeko!FX412)</f>
        <v>1</v>
      </c>
      <c r="AY412" s="1979">
        <f>IF(Construction!$F$31=Construction!$R$22,Oeko!DL412,Oeko!FY412)</f>
        <v>1</v>
      </c>
      <c r="AZ412" s="1979">
        <f>IF(Construction!$F$31=Construction!$R$22,Oeko!DM412,Oeko!FZ412)</f>
        <v>1</v>
      </c>
      <c r="BA412" s="1979">
        <f>IF(Construction!$F$31=Construction!$R$22,Oeko!DN412,Oeko!GA412)</f>
        <v>1</v>
      </c>
      <c r="BB412" s="1998">
        <f>IF(Construction!$F$31=Construction!$R$22,Oeko!DO412,Oeko!GB412)</f>
        <v>0.12461206483213953</v>
      </c>
      <c r="BC412" s="1998">
        <f>IF(Construction!$F$31=Construction!$R$22,Oeko!DP412,Oeko!GC412)</f>
        <v>0.12461206483213953</v>
      </c>
      <c r="BD412" s="1998">
        <f>IF(Construction!$F$31=Construction!$R$22,Oeko!DQ412,Oeko!GD412)</f>
        <v>0.12461206483213953</v>
      </c>
      <c r="BE412" s="1998">
        <f>IF(Construction!$F$31=Construction!$R$22,Oeko!DR412,Oeko!GE412)</f>
        <v>0.12461206483213953</v>
      </c>
      <c r="BF412" s="1998">
        <f>IF(Construction!$F$31=Construction!$R$22,Oeko!DS412,Oeko!GF412)</f>
        <v>0.12461206483213953</v>
      </c>
      <c r="BG412" s="1979">
        <f>IF(Construction!$F$31=Construction!$R$22,Oeko!DT412,Oeko!GG412)</f>
        <v>0.12783559671100567</v>
      </c>
      <c r="BH412" s="1979">
        <f>IF(Construction!$F$31=Construction!$R$22,Oeko!DU412,Oeko!GH412)</f>
        <v>0.12783559671100567</v>
      </c>
      <c r="BI412" s="1979">
        <f>IF(Construction!$F$31=Construction!$R$22,Oeko!DV412,Oeko!GI412)</f>
        <v>0.12783559671100567</v>
      </c>
      <c r="BJ412" s="1979">
        <f>IF(Construction!$F$31=Construction!$R$22,Oeko!DW412,Oeko!GJ412)</f>
        <v>0.12783559671100567</v>
      </c>
      <c r="BK412" s="2021">
        <f>IF(Construction!$F$31=Construction!$R$22,Oeko!DX412,Oeko!GK412)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Fondation superficielle</v>
      </c>
      <c r="D413" s="1998">
        <f>IF(Construction!$F$31=Construction!$R$22,Oeko!BQ413,Oeko!ED413)</f>
        <v>1</v>
      </c>
      <c r="E413" s="1998">
        <f>IF(Construction!$F$31=Construction!$R$22,Oeko!BR413,Oeko!EE413)</f>
        <v>1</v>
      </c>
      <c r="F413" s="1998">
        <f>IF(Construction!$F$31=Construction!$R$22,Oeko!BS413,Oeko!EF413)</f>
        <v>1</v>
      </c>
      <c r="G413" s="1998">
        <f>IF(Construction!$F$31=Construction!$R$22,Oeko!BT413,Oeko!EG413)</f>
        <v>1</v>
      </c>
      <c r="H413" s="1998">
        <f>IF(Construction!$F$31=Construction!$R$22,Oeko!BU413,Oeko!EH413)</f>
        <v>1</v>
      </c>
      <c r="I413" s="1979">
        <f>IF(Construction!$F$31=Construction!$R$22,Oeko!BV413,Oeko!EI413)</f>
        <v>1</v>
      </c>
      <c r="J413" s="1979">
        <f>IF(Construction!$F$31=Construction!$R$22,Oeko!BW413,Oeko!EJ413)</f>
        <v>1</v>
      </c>
      <c r="K413" s="1979">
        <f>IF(Construction!$F$31=Construction!$R$22,Oeko!BX413,Oeko!EK413)</f>
        <v>1</v>
      </c>
      <c r="L413" s="1979">
        <f>IF(Construction!$F$31=Construction!$R$22,Oeko!BY413,Oeko!EL413)</f>
        <v>1</v>
      </c>
      <c r="M413" s="1979">
        <f>IF(Construction!$F$31=Construction!$R$22,Oeko!BZ413,Oeko!EM413)</f>
        <v>1</v>
      </c>
      <c r="N413" s="1998">
        <f>IF(Construction!$F$31=Construction!$R$22,Oeko!CA413,Oeko!EN413)</f>
        <v>1</v>
      </c>
      <c r="O413" s="1998">
        <f>IF(Construction!$F$31=Construction!$R$22,Oeko!CB413,Oeko!EO413)</f>
        <v>1</v>
      </c>
      <c r="P413" s="1998">
        <f>IF(Construction!$F$31=Construction!$R$22,Oeko!CC413,Oeko!EP413)</f>
        <v>1</v>
      </c>
      <c r="Q413" s="1998">
        <f>IF(Construction!$F$31=Construction!$R$22,Oeko!CD413,Oeko!EQ413)</f>
        <v>1</v>
      </c>
      <c r="R413" s="1998">
        <f>IF(Construction!$F$31=Construction!$R$22,Oeko!CE413,Oeko!ER413)</f>
        <v>1</v>
      </c>
      <c r="S413" s="1979">
        <f>IF(Construction!$F$31=Construction!$R$22,Oeko!CF413,Oeko!ES413)</f>
        <v>1</v>
      </c>
      <c r="T413" s="1979">
        <f>IF(Construction!$F$31=Construction!$R$22,Oeko!CG413,Oeko!ET413)</f>
        <v>1</v>
      </c>
      <c r="U413" s="1979">
        <f>IF(Construction!$F$31=Construction!$R$22,Oeko!CH413,Oeko!EU413)</f>
        <v>1</v>
      </c>
      <c r="V413" s="1979">
        <f>IF(Construction!$F$31=Construction!$R$22,Oeko!CI413,Oeko!EV413)</f>
        <v>1</v>
      </c>
      <c r="W413" s="1979">
        <f>IF(Construction!$F$31=Construction!$R$22,Oeko!CJ413,Oeko!EW413)</f>
        <v>1</v>
      </c>
      <c r="X413" s="1998">
        <f>IF(Construction!$F$31=Construction!$R$22,Oeko!CK413,Oeko!EX413)</f>
        <v>1</v>
      </c>
      <c r="Y413" s="1998">
        <f>IF(Construction!$F$31=Construction!$R$22,Oeko!CL413,Oeko!EY413)</f>
        <v>1</v>
      </c>
      <c r="Z413" s="1998">
        <f>IF(Construction!$F$31=Construction!$R$22,Oeko!CM413,Oeko!EZ413)</f>
        <v>1</v>
      </c>
      <c r="AA413" s="1998">
        <f>IF(Construction!$F$31=Construction!$R$22,Oeko!CN413,Oeko!FA413)</f>
        <v>1</v>
      </c>
      <c r="AB413" s="1998">
        <f>IF(Construction!$F$31=Construction!$R$22,Oeko!CO413,Oeko!FB413)</f>
        <v>1</v>
      </c>
      <c r="AC413" s="1979">
        <f>IF(Construction!$F$31=Construction!$R$22,Oeko!CP413,Oeko!FC413)</f>
        <v>1</v>
      </c>
      <c r="AD413" s="1979">
        <f>IF(Construction!$F$31=Construction!$R$22,Oeko!CQ413,Oeko!FD413)</f>
        <v>1</v>
      </c>
      <c r="AE413" s="1979">
        <f>IF(Construction!$F$31=Construction!$R$22,Oeko!CR413,Oeko!FE413)</f>
        <v>1</v>
      </c>
      <c r="AF413" s="1979">
        <f>IF(Construction!$F$31=Construction!$R$22,Oeko!CS413,Oeko!FF413)</f>
        <v>1</v>
      </c>
      <c r="AG413" s="1979">
        <f>IF(Construction!$F$31=Construction!$R$22,Oeko!CT413,Oeko!FG413)</f>
        <v>1</v>
      </c>
      <c r="AH413" s="1998">
        <f>IF(Construction!$F$31=Construction!$R$22,Oeko!CU413,Oeko!FH413)</f>
        <v>1</v>
      </c>
      <c r="AI413" s="1998">
        <f>IF(Construction!$F$31=Construction!$R$22,Oeko!CV413,Oeko!FI413)</f>
        <v>1</v>
      </c>
      <c r="AJ413" s="1998">
        <f>IF(Construction!$F$31=Construction!$R$22,Oeko!CW413,Oeko!FJ413)</f>
        <v>1</v>
      </c>
      <c r="AK413" s="1998">
        <f>IF(Construction!$F$31=Construction!$R$22,Oeko!CX413,Oeko!FK413)</f>
        <v>1</v>
      </c>
      <c r="AL413" s="1998">
        <f>IF(Construction!$F$31=Construction!$R$22,Oeko!CY413,Oeko!FL413)</f>
        <v>1</v>
      </c>
      <c r="AM413" s="1979">
        <f>IF(Construction!$F$31=Construction!$R$22,Oeko!CZ413,Oeko!FM413)</f>
        <v>1</v>
      </c>
      <c r="AN413" s="1979">
        <f>IF(Construction!$F$31=Construction!$R$22,Oeko!DA413,Oeko!FN413)</f>
        <v>1</v>
      </c>
      <c r="AO413" s="1979">
        <f>IF(Construction!$F$31=Construction!$R$22,Oeko!DB413,Oeko!FO413)</f>
        <v>1</v>
      </c>
      <c r="AP413" s="1979">
        <f>IF(Construction!$F$31=Construction!$R$22,Oeko!DC413,Oeko!FP413)</f>
        <v>1</v>
      </c>
      <c r="AQ413" s="1979">
        <f>IF(Construction!$F$31=Construction!$R$22,Oeko!DD413,Oeko!FQ413)</f>
        <v>1</v>
      </c>
      <c r="AR413" s="1998">
        <f>IF(Construction!$F$31=Construction!$R$22,Oeko!DE413,Oeko!FR413)</f>
        <v>1</v>
      </c>
      <c r="AS413" s="1998">
        <f>IF(Construction!$F$31=Construction!$R$22,Oeko!DF413,Oeko!FS413)</f>
        <v>1</v>
      </c>
      <c r="AT413" s="1998">
        <f>IF(Construction!$F$31=Construction!$R$22,Oeko!DG413,Oeko!FT413)</f>
        <v>1</v>
      </c>
      <c r="AU413" s="1998">
        <f>IF(Construction!$F$31=Construction!$R$22,Oeko!DH413,Oeko!FU413)</f>
        <v>1</v>
      </c>
      <c r="AV413" s="1998">
        <f>IF(Construction!$F$31=Construction!$R$22,Oeko!DI413,Oeko!FV413)</f>
        <v>1</v>
      </c>
      <c r="AW413" s="1979">
        <f>IF(Construction!$F$31=Construction!$R$22,Oeko!DJ413,Oeko!FW413)</f>
        <v>1</v>
      </c>
      <c r="AX413" s="1979">
        <f>IF(Construction!$F$31=Construction!$R$22,Oeko!DK413,Oeko!FX413)</f>
        <v>1</v>
      </c>
      <c r="AY413" s="1979">
        <f>IF(Construction!$F$31=Construction!$R$22,Oeko!DL413,Oeko!FY413)</f>
        <v>1</v>
      </c>
      <c r="AZ413" s="1979">
        <f>IF(Construction!$F$31=Construction!$R$22,Oeko!DM413,Oeko!FZ413)</f>
        <v>1</v>
      </c>
      <c r="BA413" s="1979">
        <f>IF(Construction!$F$31=Construction!$R$22,Oeko!DN413,Oeko!GA413)</f>
        <v>1</v>
      </c>
      <c r="BB413" s="1998">
        <f>IF(Construction!$F$31=Construction!$R$22,Oeko!DO413,Oeko!GB413)</f>
        <v>1</v>
      </c>
      <c r="BC413" s="1998">
        <f>IF(Construction!$F$31=Construction!$R$22,Oeko!DP413,Oeko!GC413)</f>
        <v>1</v>
      </c>
      <c r="BD413" s="1998">
        <f>IF(Construction!$F$31=Construction!$R$22,Oeko!DQ413,Oeko!GD413)</f>
        <v>1</v>
      </c>
      <c r="BE413" s="1998">
        <f>IF(Construction!$F$31=Construction!$R$22,Oeko!DR413,Oeko!GE413)</f>
        <v>1</v>
      </c>
      <c r="BF413" s="1998">
        <f>IF(Construction!$F$31=Construction!$R$22,Oeko!DS413,Oeko!GF413)</f>
        <v>1</v>
      </c>
      <c r="BG413" s="1979">
        <f>IF(Construction!$F$31=Construction!$R$22,Oeko!DT413,Oeko!GG413)</f>
        <v>1</v>
      </c>
      <c r="BH413" s="1979">
        <f>IF(Construction!$F$31=Construction!$R$22,Oeko!DU413,Oeko!GH413)</f>
        <v>1</v>
      </c>
      <c r="BI413" s="1979">
        <f>IF(Construction!$F$31=Construction!$R$22,Oeko!DV413,Oeko!GI413)</f>
        <v>1</v>
      </c>
      <c r="BJ413" s="1979">
        <f>IF(Construction!$F$31=Construction!$R$22,Oeko!DW413,Oeko!GJ413)</f>
        <v>1</v>
      </c>
      <c r="BK413" s="2021">
        <f>IF(Construction!$F$31=Construction!$R$22,Oeko!DX413,Oeko!GK413)</f>
        <v>1</v>
      </c>
      <c r="BN413" s="2022"/>
      <c r="BO413" s="2">
        <v>29</v>
      </c>
      <c r="BP413" s="2" t="str">
        <f>$AD$13</f>
        <v>Fondation superficielle</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Fondation superficielle</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Micro-pieux</v>
      </c>
      <c r="D414" s="1998">
        <f>IF(Construction!$F$31=Construction!$R$22,Oeko!BQ414,Oeko!ED414)</f>
        <v>1</v>
      </c>
      <c r="E414" s="1998">
        <f>IF(Construction!$F$31=Construction!$R$22,Oeko!BR414,Oeko!EE414)</f>
        <v>1</v>
      </c>
      <c r="F414" s="1998">
        <f>IF(Construction!$F$31=Construction!$R$22,Oeko!BS414,Oeko!EF414)</f>
        <v>1</v>
      </c>
      <c r="G414" s="1998">
        <f>IF(Construction!$F$31=Construction!$R$22,Oeko!BT414,Oeko!EG414)</f>
        <v>1</v>
      </c>
      <c r="H414" s="1998">
        <f>IF(Construction!$F$31=Construction!$R$22,Oeko!BU414,Oeko!EH414)</f>
        <v>1</v>
      </c>
      <c r="I414" s="1979">
        <f>IF(Construction!$F$31=Construction!$R$22,Oeko!BV414,Oeko!EI414)</f>
        <v>1</v>
      </c>
      <c r="J414" s="1979">
        <f>IF(Construction!$F$31=Construction!$R$22,Oeko!BW414,Oeko!EJ414)</f>
        <v>1</v>
      </c>
      <c r="K414" s="1979">
        <f>IF(Construction!$F$31=Construction!$R$22,Oeko!BX414,Oeko!EK414)</f>
        <v>1</v>
      </c>
      <c r="L414" s="1979">
        <f>IF(Construction!$F$31=Construction!$R$22,Oeko!BY414,Oeko!EL414)</f>
        <v>1</v>
      </c>
      <c r="M414" s="1979">
        <f>IF(Construction!$F$31=Construction!$R$22,Oeko!BZ414,Oeko!EM414)</f>
        <v>1</v>
      </c>
      <c r="N414" s="1998">
        <f>IF(Construction!$F$31=Construction!$R$22,Oeko!CA414,Oeko!EN414)</f>
        <v>1</v>
      </c>
      <c r="O414" s="1998">
        <f>IF(Construction!$F$31=Construction!$R$22,Oeko!CB414,Oeko!EO414)</f>
        <v>1</v>
      </c>
      <c r="P414" s="1998">
        <f>IF(Construction!$F$31=Construction!$R$22,Oeko!CC414,Oeko!EP414)</f>
        <v>1</v>
      </c>
      <c r="Q414" s="1998">
        <f>IF(Construction!$F$31=Construction!$R$22,Oeko!CD414,Oeko!EQ414)</f>
        <v>1</v>
      </c>
      <c r="R414" s="1998">
        <f>IF(Construction!$F$31=Construction!$R$22,Oeko!CE414,Oeko!ER414)</f>
        <v>1</v>
      </c>
      <c r="S414" s="1979">
        <f>IF(Construction!$F$31=Construction!$R$22,Oeko!CF414,Oeko!ES414)</f>
        <v>1</v>
      </c>
      <c r="T414" s="1979">
        <f>IF(Construction!$F$31=Construction!$R$22,Oeko!CG414,Oeko!ET414)</f>
        <v>1</v>
      </c>
      <c r="U414" s="1979">
        <f>IF(Construction!$F$31=Construction!$R$22,Oeko!CH414,Oeko!EU414)</f>
        <v>1</v>
      </c>
      <c r="V414" s="1979">
        <f>IF(Construction!$F$31=Construction!$R$22,Oeko!CI414,Oeko!EV414)</f>
        <v>1</v>
      </c>
      <c r="W414" s="1979">
        <f>IF(Construction!$F$31=Construction!$R$22,Oeko!CJ414,Oeko!EW414)</f>
        <v>1</v>
      </c>
      <c r="X414" s="1998">
        <f>IF(Construction!$F$31=Construction!$R$22,Oeko!CK414,Oeko!EX414)</f>
        <v>1</v>
      </c>
      <c r="Y414" s="1998">
        <f>IF(Construction!$F$31=Construction!$R$22,Oeko!CL414,Oeko!EY414)</f>
        <v>1</v>
      </c>
      <c r="Z414" s="1998">
        <f>IF(Construction!$F$31=Construction!$R$22,Oeko!CM414,Oeko!EZ414)</f>
        <v>1</v>
      </c>
      <c r="AA414" s="1998">
        <f>IF(Construction!$F$31=Construction!$R$22,Oeko!CN414,Oeko!FA414)</f>
        <v>1</v>
      </c>
      <c r="AB414" s="1998">
        <f>IF(Construction!$F$31=Construction!$R$22,Oeko!CO414,Oeko!FB414)</f>
        <v>1</v>
      </c>
      <c r="AC414" s="1979">
        <f>IF(Construction!$F$31=Construction!$R$22,Oeko!CP414,Oeko!FC414)</f>
        <v>1</v>
      </c>
      <c r="AD414" s="1979">
        <f>IF(Construction!$F$31=Construction!$R$22,Oeko!CQ414,Oeko!FD414)</f>
        <v>1</v>
      </c>
      <c r="AE414" s="1979">
        <f>IF(Construction!$F$31=Construction!$R$22,Oeko!CR414,Oeko!FE414)</f>
        <v>1</v>
      </c>
      <c r="AF414" s="1979">
        <f>IF(Construction!$F$31=Construction!$R$22,Oeko!CS414,Oeko!FF414)</f>
        <v>1</v>
      </c>
      <c r="AG414" s="1979">
        <f>IF(Construction!$F$31=Construction!$R$22,Oeko!CT414,Oeko!FG414)</f>
        <v>1</v>
      </c>
      <c r="AH414" s="1998">
        <f>IF(Construction!$F$31=Construction!$R$22,Oeko!CU414,Oeko!FH414)</f>
        <v>1</v>
      </c>
      <c r="AI414" s="1998">
        <f>IF(Construction!$F$31=Construction!$R$22,Oeko!CV414,Oeko!FI414)</f>
        <v>1</v>
      </c>
      <c r="AJ414" s="1998">
        <f>IF(Construction!$F$31=Construction!$R$22,Oeko!CW414,Oeko!FJ414)</f>
        <v>1</v>
      </c>
      <c r="AK414" s="1998">
        <f>IF(Construction!$F$31=Construction!$R$22,Oeko!CX414,Oeko!FK414)</f>
        <v>1</v>
      </c>
      <c r="AL414" s="1998">
        <f>IF(Construction!$F$31=Construction!$R$22,Oeko!CY414,Oeko!FL414)</f>
        <v>1</v>
      </c>
      <c r="AM414" s="1979">
        <f>IF(Construction!$F$31=Construction!$R$22,Oeko!CZ414,Oeko!FM414)</f>
        <v>1</v>
      </c>
      <c r="AN414" s="1979">
        <f>IF(Construction!$F$31=Construction!$R$22,Oeko!DA414,Oeko!FN414)</f>
        <v>1</v>
      </c>
      <c r="AO414" s="1979">
        <f>IF(Construction!$F$31=Construction!$R$22,Oeko!DB414,Oeko!FO414)</f>
        <v>1</v>
      </c>
      <c r="AP414" s="1979">
        <f>IF(Construction!$F$31=Construction!$R$22,Oeko!DC414,Oeko!FP414)</f>
        <v>1</v>
      </c>
      <c r="AQ414" s="1979">
        <f>IF(Construction!$F$31=Construction!$R$22,Oeko!DD414,Oeko!FQ414)</f>
        <v>1</v>
      </c>
      <c r="AR414" s="1998">
        <f>IF(Construction!$F$31=Construction!$R$22,Oeko!DE414,Oeko!FR414)</f>
        <v>1</v>
      </c>
      <c r="AS414" s="1998">
        <f>IF(Construction!$F$31=Construction!$R$22,Oeko!DF414,Oeko!FS414)</f>
        <v>1</v>
      </c>
      <c r="AT414" s="1998">
        <f>IF(Construction!$F$31=Construction!$R$22,Oeko!DG414,Oeko!FT414)</f>
        <v>1</v>
      </c>
      <c r="AU414" s="1998">
        <f>IF(Construction!$F$31=Construction!$R$22,Oeko!DH414,Oeko!FU414)</f>
        <v>1</v>
      </c>
      <c r="AV414" s="1998">
        <f>IF(Construction!$F$31=Construction!$R$22,Oeko!DI414,Oeko!FV414)</f>
        <v>1</v>
      </c>
      <c r="AW414" s="1979">
        <f>IF(Construction!$F$31=Construction!$R$22,Oeko!DJ414,Oeko!FW414)</f>
        <v>1</v>
      </c>
      <c r="AX414" s="1979">
        <f>IF(Construction!$F$31=Construction!$R$22,Oeko!DK414,Oeko!FX414)</f>
        <v>1</v>
      </c>
      <c r="AY414" s="1979">
        <f>IF(Construction!$F$31=Construction!$R$22,Oeko!DL414,Oeko!FY414)</f>
        <v>1</v>
      </c>
      <c r="AZ414" s="1979">
        <f>IF(Construction!$F$31=Construction!$R$22,Oeko!DM414,Oeko!FZ414)</f>
        <v>1</v>
      </c>
      <c r="BA414" s="1979">
        <f>IF(Construction!$F$31=Construction!$R$22,Oeko!DN414,Oeko!GA414)</f>
        <v>1</v>
      </c>
      <c r="BB414" s="1998">
        <f>IF(Construction!$F$31=Construction!$R$22,Oeko!DO414,Oeko!GB414)</f>
        <v>1</v>
      </c>
      <c r="BC414" s="1998">
        <f>IF(Construction!$F$31=Construction!$R$22,Oeko!DP414,Oeko!GC414)</f>
        <v>1</v>
      </c>
      <c r="BD414" s="1998">
        <f>IF(Construction!$F$31=Construction!$R$22,Oeko!DQ414,Oeko!GD414)</f>
        <v>1</v>
      </c>
      <c r="BE414" s="1998">
        <f>IF(Construction!$F$31=Construction!$R$22,Oeko!DR414,Oeko!GE414)</f>
        <v>1</v>
      </c>
      <c r="BF414" s="1998">
        <f>IF(Construction!$F$31=Construction!$R$22,Oeko!DS414,Oeko!GF414)</f>
        <v>1</v>
      </c>
      <c r="BG414" s="1979">
        <f>IF(Construction!$F$31=Construction!$R$22,Oeko!DT414,Oeko!GG414)</f>
        <v>1</v>
      </c>
      <c r="BH414" s="1979">
        <f>IF(Construction!$F$31=Construction!$R$22,Oeko!DU414,Oeko!GH414)</f>
        <v>1</v>
      </c>
      <c r="BI414" s="1979">
        <f>IF(Construction!$F$31=Construction!$R$22,Oeko!DV414,Oeko!GI414)</f>
        <v>1</v>
      </c>
      <c r="BJ414" s="1979">
        <f>IF(Construction!$F$31=Construction!$R$22,Oeko!DW414,Oeko!GJ414)</f>
        <v>1</v>
      </c>
      <c r="BK414" s="2021">
        <f>IF(Construction!$F$31=Construction!$R$22,Oeko!DX414,Oeko!GK414)</f>
        <v>1</v>
      </c>
      <c r="BN414" s="2022"/>
      <c r="BO414" s="2">
        <v>30</v>
      </c>
      <c r="BP414" s="2" t="str">
        <f>$AD$14</f>
        <v>Micro-pieux</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Micro-pieux</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Pieux en béton coulé sur place</v>
      </c>
      <c r="D415" s="1998">
        <f>IF(Construction!$F$31=Construction!$R$22,Oeko!BQ415,Oeko!ED415)</f>
        <v>1</v>
      </c>
      <c r="E415" s="1998">
        <f>IF(Construction!$F$31=Construction!$R$22,Oeko!BR415,Oeko!EE415)</f>
        <v>1</v>
      </c>
      <c r="F415" s="1998">
        <f>IF(Construction!$F$31=Construction!$R$22,Oeko!BS415,Oeko!EF415)</f>
        <v>1</v>
      </c>
      <c r="G415" s="1998">
        <f>IF(Construction!$F$31=Construction!$R$22,Oeko!BT415,Oeko!EG415)</f>
        <v>1</v>
      </c>
      <c r="H415" s="1998">
        <f>IF(Construction!$F$31=Construction!$R$22,Oeko!BU415,Oeko!EH415)</f>
        <v>1</v>
      </c>
      <c r="I415" s="1979">
        <f>IF(Construction!$F$31=Construction!$R$22,Oeko!BV415,Oeko!EI415)</f>
        <v>1</v>
      </c>
      <c r="J415" s="1979">
        <f>IF(Construction!$F$31=Construction!$R$22,Oeko!BW415,Oeko!EJ415)</f>
        <v>1</v>
      </c>
      <c r="K415" s="1979">
        <f>IF(Construction!$F$31=Construction!$R$22,Oeko!BX415,Oeko!EK415)</f>
        <v>1</v>
      </c>
      <c r="L415" s="1979">
        <f>IF(Construction!$F$31=Construction!$R$22,Oeko!BY415,Oeko!EL415)</f>
        <v>1</v>
      </c>
      <c r="M415" s="1979">
        <f>IF(Construction!$F$31=Construction!$R$22,Oeko!BZ415,Oeko!EM415)</f>
        <v>1</v>
      </c>
      <c r="N415" s="1998">
        <f>IF(Construction!$F$31=Construction!$R$22,Oeko!CA415,Oeko!EN415)</f>
        <v>1</v>
      </c>
      <c r="O415" s="1998">
        <f>IF(Construction!$F$31=Construction!$R$22,Oeko!CB415,Oeko!EO415)</f>
        <v>1</v>
      </c>
      <c r="P415" s="1998">
        <f>IF(Construction!$F$31=Construction!$R$22,Oeko!CC415,Oeko!EP415)</f>
        <v>1</v>
      </c>
      <c r="Q415" s="1998">
        <f>IF(Construction!$F$31=Construction!$R$22,Oeko!CD415,Oeko!EQ415)</f>
        <v>1</v>
      </c>
      <c r="R415" s="1998">
        <f>IF(Construction!$F$31=Construction!$R$22,Oeko!CE415,Oeko!ER415)</f>
        <v>1</v>
      </c>
      <c r="S415" s="1979">
        <f>IF(Construction!$F$31=Construction!$R$22,Oeko!CF415,Oeko!ES415)</f>
        <v>1</v>
      </c>
      <c r="T415" s="1979">
        <f>IF(Construction!$F$31=Construction!$R$22,Oeko!CG415,Oeko!ET415)</f>
        <v>1</v>
      </c>
      <c r="U415" s="1979">
        <f>IF(Construction!$F$31=Construction!$R$22,Oeko!CH415,Oeko!EU415)</f>
        <v>1</v>
      </c>
      <c r="V415" s="1979">
        <f>IF(Construction!$F$31=Construction!$R$22,Oeko!CI415,Oeko!EV415)</f>
        <v>1</v>
      </c>
      <c r="W415" s="1979">
        <f>IF(Construction!$F$31=Construction!$R$22,Oeko!CJ415,Oeko!EW415)</f>
        <v>1</v>
      </c>
      <c r="X415" s="1998">
        <f>IF(Construction!$F$31=Construction!$R$22,Oeko!CK415,Oeko!EX415)</f>
        <v>1</v>
      </c>
      <c r="Y415" s="1998">
        <f>IF(Construction!$F$31=Construction!$R$22,Oeko!CL415,Oeko!EY415)</f>
        <v>1</v>
      </c>
      <c r="Z415" s="1998">
        <f>IF(Construction!$F$31=Construction!$R$22,Oeko!CM415,Oeko!EZ415)</f>
        <v>1</v>
      </c>
      <c r="AA415" s="1998">
        <f>IF(Construction!$F$31=Construction!$R$22,Oeko!CN415,Oeko!FA415)</f>
        <v>1</v>
      </c>
      <c r="AB415" s="1998">
        <f>IF(Construction!$F$31=Construction!$R$22,Oeko!CO415,Oeko!FB415)</f>
        <v>1</v>
      </c>
      <c r="AC415" s="1979">
        <f>IF(Construction!$F$31=Construction!$R$22,Oeko!CP415,Oeko!FC415)</f>
        <v>1</v>
      </c>
      <c r="AD415" s="1979">
        <f>IF(Construction!$F$31=Construction!$R$22,Oeko!CQ415,Oeko!FD415)</f>
        <v>1</v>
      </c>
      <c r="AE415" s="1979">
        <f>IF(Construction!$F$31=Construction!$R$22,Oeko!CR415,Oeko!FE415)</f>
        <v>1</v>
      </c>
      <c r="AF415" s="1979">
        <f>IF(Construction!$F$31=Construction!$R$22,Oeko!CS415,Oeko!FF415)</f>
        <v>1</v>
      </c>
      <c r="AG415" s="1979">
        <f>IF(Construction!$F$31=Construction!$R$22,Oeko!CT415,Oeko!FG415)</f>
        <v>1</v>
      </c>
      <c r="AH415" s="1998">
        <f>IF(Construction!$F$31=Construction!$R$22,Oeko!CU415,Oeko!FH415)</f>
        <v>1</v>
      </c>
      <c r="AI415" s="1998">
        <f>IF(Construction!$F$31=Construction!$R$22,Oeko!CV415,Oeko!FI415)</f>
        <v>1</v>
      </c>
      <c r="AJ415" s="1998">
        <f>IF(Construction!$F$31=Construction!$R$22,Oeko!CW415,Oeko!FJ415)</f>
        <v>1</v>
      </c>
      <c r="AK415" s="1998">
        <f>IF(Construction!$F$31=Construction!$R$22,Oeko!CX415,Oeko!FK415)</f>
        <v>1</v>
      </c>
      <c r="AL415" s="1998">
        <f>IF(Construction!$F$31=Construction!$R$22,Oeko!CY415,Oeko!FL415)</f>
        <v>1</v>
      </c>
      <c r="AM415" s="1979">
        <f>IF(Construction!$F$31=Construction!$R$22,Oeko!CZ415,Oeko!FM415)</f>
        <v>1</v>
      </c>
      <c r="AN415" s="1979">
        <f>IF(Construction!$F$31=Construction!$R$22,Oeko!DA415,Oeko!FN415)</f>
        <v>1</v>
      </c>
      <c r="AO415" s="1979">
        <f>IF(Construction!$F$31=Construction!$R$22,Oeko!DB415,Oeko!FO415)</f>
        <v>1</v>
      </c>
      <c r="AP415" s="1979">
        <f>IF(Construction!$F$31=Construction!$R$22,Oeko!DC415,Oeko!FP415)</f>
        <v>1</v>
      </c>
      <c r="AQ415" s="1979">
        <f>IF(Construction!$F$31=Construction!$R$22,Oeko!DD415,Oeko!FQ415)</f>
        <v>1</v>
      </c>
      <c r="AR415" s="1998">
        <f>IF(Construction!$F$31=Construction!$R$22,Oeko!DE415,Oeko!FR415)</f>
        <v>1</v>
      </c>
      <c r="AS415" s="1998">
        <f>IF(Construction!$F$31=Construction!$R$22,Oeko!DF415,Oeko!FS415)</f>
        <v>1</v>
      </c>
      <c r="AT415" s="1998">
        <f>IF(Construction!$F$31=Construction!$R$22,Oeko!DG415,Oeko!FT415)</f>
        <v>1</v>
      </c>
      <c r="AU415" s="1998">
        <f>IF(Construction!$F$31=Construction!$R$22,Oeko!DH415,Oeko!FU415)</f>
        <v>1</v>
      </c>
      <c r="AV415" s="1998">
        <f>IF(Construction!$F$31=Construction!$R$22,Oeko!DI415,Oeko!FV415)</f>
        <v>1</v>
      </c>
      <c r="AW415" s="1979">
        <f>IF(Construction!$F$31=Construction!$R$22,Oeko!DJ415,Oeko!FW415)</f>
        <v>1</v>
      </c>
      <c r="AX415" s="1979">
        <f>IF(Construction!$F$31=Construction!$R$22,Oeko!DK415,Oeko!FX415)</f>
        <v>1</v>
      </c>
      <c r="AY415" s="1979">
        <f>IF(Construction!$F$31=Construction!$R$22,Oeko!DL415,Oeko!FY415)</f>
        <v>1</v>
      </c>
      <c r="AZ415" s="1979">
        <f>IF(Construction!$F$31=Construction!$R$22,Oeko!DM415,Oeko!FZ415)</f>
        <v>1</v>
      </c>
      <c r="BA415" s="1979">
        <f>IF(Construction!$F$31=Construction!$R$22,Oeko!DN415,Oeko!GA415)</f>
        <v>1</v>
      </c>
      <c r="BB415" s="1998">
        <f>IF(Construction!$F$31=Construction!$R$22,Oeko!DO415,Oeko!GB415)</f>
        <v>1</v>
      </c>
      <c r="BC415" s="1998">
        <f>IF(Construction!$F$31=Construction!$R$22,Oeko!DP415,Oeko!GC415)</f>
        <v>1</v>
      </c>
      <c r="BD415" s="1998">
        <f>IF(Construction!$F$31=Construction!$R$22,Oeko!DQ415,Oeko!GD415)</f>
        <v>1</v>
      </c>
      <c r="BE415" s="1998">
        <f>IF(Construction!$F$31=Construction!$R$22,Oeko!DR415,Oeko!GE415)</f>
        <v>1</v>
      </c>
      <c r="BF415" s="1998">
        <f>IF(Construction!$F$31=Construction!$R$22,Oeko!DS415,Oeko!GF415)</f>
        <v>1</v>
      </c>
      <c r="BG415" s="1979">
        <f>IF(Construction!$F$31=Construction!$R$22,Oeko!DT415,Oeko!GG415)</f>
        <v>1</v>
      </c>
      <c r="BH415" s="1979">
        <f>IF(Construction!$F$31=Construction!$R$22,Oeko!DU415,Oeko!GH415)</f>
        <v>1</v>
      </c>
      <c r="BI415" s="1979">
        <f>IF(Construction!$F$31=Construction!$R$22,Oeko!DV415,Oeko!GI415)</f>
        <v>1</v>
      </c>
      <c r="BJ415" s="1979">
        <f>IF(Construction!$F$31=Construction!$R$22,Oeko!DW415,Oeko!GJ415)</f>
        <v>1</v>
      </c>
      <c r="BK415" s="2021">
        <f>IF(Construction!$F$31=Construction!$R$22,Oeko!DX415,Oeko!GK415)</f>
        <v>1</v>
      </c>
      <c r="BN415" s="2022"/>
      <c r="BO415" s="2">
        <v>31</v>
      </c>
      <c r="BP415" s="2" t="str">
        <f>$AD$15</f>
        <v>Pieux en béton coulé sur place</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Pieux en béton coulé sur place</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Colonnes ballastées</v>
      </c>
      <c r="D416" s="1998">
        <f>IF(Construction!$F$31=Construction!$R$22,Oeko!BQ416,Oeko!ED416)</f>
        <v>1</v>
      </c>
      <c r="E416" s="1998">
        <f>IF(Construction!$F$31=Construction!$R$22,Oeko!BR416,Oeko!EE416)</f>
        <v>1</v>
      </c>
      <c r="F416" s="1998">
        <f>IF(Construction!$F$31=Construction!$R$22,Oeko!BS416,Oeko!EF416)</f>
        <v>1</v>
      </c>
      <c r="G416" s="1998">
        <f>IF(Construction!$F$31=Construction!$R$22,Oeko!BT416,Oeko!EG416)</f>
        <v>1</v>
      </c>
      <c r="H416" s="1998">
        <f>IF(Construction!$F$31=Construction!$R$22,Oeko!BU416,Oeko!EH416)</f>
        <v>1</v>
      </c>
      <c r="I416" s="1979">
        <f>IF(Construction!$F$31=Construction!$R$22,Oeko!BV416,Oeko!EI416)</f>
        <v>1</v>
      </c>
      <c r="J416" s="1979">
        <f>IF(Construction!$F$31=Construction!$R$22,Oeko!BW416,Oeko!EJ416)</f>
        <v>1</v>
      </c>
      <c r="K416" s="1979">
        <f>IF(Construction!$F$31=Construction!$R$22,Oeko!BX416,Oeko!EK416)</f>
        <v>1</v>
      </c>
      <c r="L416" s="1979">
        <f>IF(Construction!$F$31=Construction!$R$22,Oeko!BY416,Oeko!EL416)</f>
        <v>1</v>
      </c>
      <c r="M416" s="1979">
        <f>IF(Construction!$F$31=Construction!$R$22,Oeko!BZ416,Oeko!EM416)</f>
        <v>1</v>
      </c>
      <c r="N416" s="1998">
        <f>IF(Construction!$F$31=Construction!$R$22,Oeko!CA416,Oeko!EN416)</f>
        <v>1</v>
      </c>
      <c r="O416" s="1998">
        <f>IF(Construction!$F$31=Construction!$R$22,Oeko!CB416,Oeko!EO416)</f>
        <v>1</v>
      </c>
      <c r="P416" s="1998">
        <f>IF(Construction!$F$31=Construction!$R$22,Oeko!CC416,Oeko!EP416)</f>
        <v>1</v>
      </c>
      <c r="Q416" s="1998">
        <f>IF(Construction!$F$31=Construction!$R$22,Oeko!CD416,Oeko!EQ416)</f>
        <v>1</v>
      </c>
      <c r="R416" s="1998">
        <f>IF(Construction!$F$31=Construction!$R$22,Oeko!CE416,Oeko!ER416)</f>
        <v>1</v>
      </c>
      <c r="S416" s="1979">
        <f>IF(Construction!$F$31=Construction!$R$22,Oeko!CF416,Oeko!ES416)</f>
        <v>1</v>
      </c>
      <c r="T416" s="1979">
        <f>IF(Construction!$F$31=Construction!$R$22,Oeko!CG416,Oeko!ET416)</f>
        <v>1</v>
      </c>
      <c r="U416" s="1979">
        <f>IF(Construction!$F$31=Construction!$R$22,Oeko!CH416,Oeko!EU416)</f>
        <v>1</v>
      </c>
      <c r="V416" s="1979">
        <f>IF(Construction!$F$31=Construction!$R$22,Oeko!CI416,Oeko!EV416)</f>
        <v>1</v>
      </c>
      <c r="W416" s="1979">
        <f>IF(Construction!$F$31=Construction!$R$22,Oeko!CJ416,Oeko!EW416)</f>
        <v>1</v>
      </c>
      <c r="X416" s="1998">
        <f>IF(Construction!$F$31=Construction!$R$22,Oeko!CK416,Oeko!EX416)</f>
        <v>1</v>
      </c>
      <c r="Y416" s="1998">
        <f>IF(Construction!$F$31=Construction!$R$22,Oeko!CL416,Oeko!EY416)</f>
        <v>1</v>
      </c>
      <c r="Z416" s="1998">
        <f>IF(Construction!$F$31=Construction!$R$22,Oeko!CM416,Oeko!EZ416)</f>
        <v>1</v>
      </c>
      <c r="AA416" s="1998">
        <f>IF(Construction!$F$31=Construction!$R$22,Oeko!CN416,Oeko!FA416)</f>
        <v>1</v>
      </c>
      <c r="AB416" s="1998">
        <f>IF(Construction!$F$31=Construction!$R$22,Oeko!CO416,Oeko!FB416)</f>
        <v>1</v>
      </c>
      <c r="AC416" s="1979">
        <f>IF(Construction!$F$31=Construction!$R$22,Oeko!CP416,Oeko!FC416)</f>
        <v>1</v>
      </c>
      <c r="AD416" s="1979">
        <f>IF(Construction!$F$31=Construction!$R$22,Oeko!CQ416,Oeko!FD416)</f>
        <v>1</v>
      </c>
      <c r="AE416" s="1979">
        <f>IF(Construction!$F$31=Construction!$R$22,Oeko!CR416,Oeko!FE416)</f>
        <v>1</v>
      </c>
      <c r="AF416" s="1979">
        <f>IF(Construction!$F$31=Construction!$R$22,Oeko!CS416,Oeko!FF416)</f>
        <v>1</v>
      </c>
      <c r="AG416" s="1979">
        <f>IF(Construction!$F$31=Construction!$R$22,Oeko!CT416,Oeko!FG416)</f>
        <v>1</v>
      </c>
      <c r="AH416" s="1998">
        <f>IF(Construction!$F$31=Construction!$R$22,Oeko!CU416,Oeko!FH416)</f>
        <v>1</v>
      </c>
      <c r="AI416" s="1998">
        <f>IF(Construction!$F$31=Construction!$R$22,Oeko!CV416,Oeko!FI416)</f>
        <v>1</v>
      </c>
      <c r="AJ416" s="1998">
        <f>IF(Construction!$F$31=Construction!$R$22,Oeko!CW416,Oeko!FJ416)</f>
        <v>1</v>
      </c>
      <c r="AK416" s="1998">
        <f>IF(Construction!$F$31=Construction!$R$22,Oeko!CX416,Oeko!FK416)</f>
        <v>1</v>
      </c>
      <c r="AL416" s="1998">
        <f>IF(Construction!$F$31=Construction!$R$22,Oeko!CY416,Oeko!FL416)</f>
        <v>1</v>
      </c>
      <c r="AM416" s="1979">
        <f>IF(Construction!$F$31=Construction!$R$22,Oeko!CZ416,Oeko!FM416)</f>
        <v>1</v>
      </c>
      <c r="AN416" s="1979">
        <f>IF(Construction!$F$31=Construction!$R$22,Oeko!DA416,Oeko!FN416)</f>
        <v>1</v>
      </c>
      <c r="AO416" s="1979">
        <f>IF(Construction!$F$31=Construction!$R$22,Oeko!DB416,Oeko!FO416)</f>
        <v>1</v>
      </c>
      <c r="AP416" s="1979">
        <f>IF(Construction!$F$31=Construction!$R$22,Oeko!DC416,Oeko!FP416)</f>
        <v>1</v>
      </c>
      <c r="AQ416" s="1979">
        <f>IF(Construction!$F$31=Construction!$R$22,Oeko!DD416,Oeko!FQ416)</f>
        <v>1</v>
      </c>
      <c r="AR416" s="1998">
        <f>IF(Construction!$F$31=Construction!$R$22,Oeko!DE416,Oeko!FR416)</f>
        <v>1</v>
      </c>
      <c r="AS416" s="1998">
        <f>IF(Construction!$F$31=Construction!$R$22,Oeko!DF416,Oeko!FS416)</f>
        <v>1</v>
      </c>
      <c r="AT416" s="1998">
        <f>IF(Construction!$F$31=Construction!$R$22,Oeko!DG416,Oeko!FT416)</f>
        <v>1</v>
      </c>
      <c r="AU416" s="1998">
        <f>IF(Construction!$F$31=Construction!$R$22,Oeko!DH416,Oeko!FU416)</f>
        <v>1</v>
      </c>
      <c r="AV416" s="1998">
        <f>IF(Construction!$F$31=Construction!$R$22,Oeko!DI416,Oeko!FV416)</f>
        <v>1</v>
      </c>
      <c r="AW416" s="1979">
        <f>IF(Construction!$F$31=Construction!$R$22,Oeko!DJ416,Oeko!FW416)</f>
        <v>1</v>
      </c>
      <c r="AX416" s="1979">
        <f>IF(Construction!$F$31=Construction!$R$22,Oeko!DK416,Oeko!FX416)</f>
        <v>1</v>
      </c>
      <c r="AY416" s="1979">
        <f>IF(Construction!$F$31=Construction!$R$22,Oeko!DL416,Oeko!FY416)</f>
        <v>1</v>
      </c>
      <c r="AZ416" s="1979">
        <f>IF(Construction!$F$31=Construction!$R$22,Oeko!DM416,Oeko!FZ416)</f>
        <v>1</v>
      </c>
      <c r="BA416" s="1979">
        <f>IF(Construction!$F$31=Construction!$R$22,Oeko!DN416,Oeko!GA416)</f>
        <v>1</v>
      </c>
      <c r="BB416" s="1998">
        <f>IF(Construction!$F$31=Construction!$R$22,Oeko!DO416,Oeko!GB416)</f>
        <v>1</v>
      </c>
      <c r="BC416" s="1998">
        <f>IF(Construction!$F$31=Construction!$R$22,Oeko!DP416,Oeko!GC416)</f>
        <v>1</v>
      </c>
      <c r="BD416" s="1998">
        <f>IF(Construction!$F$31=Construction!$R$22,Oeko!DQ416,Oeko!GD416)</f>
        <v>1</v>
      </c>
      <c r="BE416" s="1998">
        <f>IF(Construction!$F$31=Construction!$R$22,Oeko!DR416,Oeko!GE416)</f>
        <v>1</v>
      </c>
      <c r="BF416" s="1998">
        <f>IF(Construction!$F$31=Construction!$R$22,Oeko!DS416,Oeko!GF416)</f>
        <v>1</v>
      </c>
      <c r="BG416" s="1979">
        <f>IF(Construction!$F$31=Construction!$R$22,Oeko!DT416,Oeko!GG416)</f>
        <v>1</v>
      </c>
      <c r="BH416" s="1979">
        <f>IF(Construction!$F$31=Construction!$R$22,Oeko!DU416,Oeko!GH416)</f>
        <v>1</v>
      </c>
      <c r="BI416" s="1979">
        <f>IF(Construction!$F$31=Construction!$R$22,Oeko!DV416,Oeko!GI416)</f>
        <v>1</v>
      </c>
      <c r="BJ416" s="1979">
        <f>IF(Construction!$F$31=Construction!$R$22,Oeko!DW416,Oeko!GJ416)</f>
        <v>1</v>
      </c>
      <c r="BK416" s="2021">
        <f>IF(Construction!$F$31=Construction!$R$22,Oeko!DX416,Oeko!GK416)</f>
        <v>1</v>
      </c>
      <c r="BN416" s="2022"/>
      <c r="BO416" s="2">
        <v>32</v>
      </c>
      <c r="BP416" s="2" t="str">
        <f>$AD$16</f>
        <v>Colonnes ballastées</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Colonnes ballastées</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Pieu en béton préfabriqué (battus)</v>
      </c>
      <c r="D417" s="1998">
        <f>IF(Construction!$F$31=Construction!$R$22,Oeko!BQ417,Oeko!ED417)</f>
        <v>1</v>
      </c>
      <c r="E417" s="1998">
        <f>IF(Construction!$F$31=Construction!$R$22,Oeko!BR417,Oeko!EE417)</f>
        <v>1</v>
      </c>
      <c r="F417" s="1998">
        <f>IF(Construction!$F$31=Construction!$R$22,Oeko!BS417,Oeko!EF417)</f>
        <v>1</v>
      </c>
      <c r="G417" s="1998">
        <f>IF(Construction!$F$31=Construction!$R$22,Oeko!BT417,Oeko!EG417)</f>
        <v>1</v>
      </c>
      <c r="H417" s="1998">
        <f>IF(Construction!$F$31=Construction!$R$22,Oeko!BU417,Oeko!EH417)</f>
        <v>1</v>
      </c>
      <c r="I417" s="1979">
        <f>IF(Construction!$F$31=Construction!$R$22,Oeko!BV417,Oeko!EI417)</f>
        <v>1</v>
      </c>
      <c r="J417" s="1979">
        <f>IF(Construction!$F$31=Construction!$R$22,Oeko!BW417,Oeko!EJ417)</f>
        <v>1</v>
      </c>
      <c r="K417" s="1979">
        <f>IF(Construction!$F$31=Construction!$R$22,Oeko!BX417,Oeko!EK417)</f>
        <v>1</v>
      </c>
      <c r="L417" s="1979">
        <f>IF(Construction!$F$31=Construction!$R$22,Oeko!BY417,Oeko!EL417)</f>
        <v>1</v>
      </c>
      <c r="M417" s="1979">
        <f>IF(Construction!$F$31=Construction!$R$22,Oeko!BZ417,Oeko!EM417)</f>
        <v>1</v>
      </c>
      <c r="N417" s="1998">
        <f>IF(Construction!$F$31=Construction!$R$22,Oeko!CA417,Oeko!EN417)</f>
        <v>1</v>
      </c>
      <c r="O417" s="1998">
        <f>IF(Construction!$F$31=Construction!$R$22,Oeko!CB417,Oeko!EO417)</f>
        <v>1</v>
      </c>
      <c r="P417" s="1998">
        <f>IF(Construction!$F$31=Construction!$R$22,Oeko!CC417,Oeko!EP417)</f>
        <v>1</v>
      </c>
      <c r="Q417" s="1998">
        <f>IF(Construction!$F$31=Construction!$R$22,Oeko!CD417,Oeko!EQ417)</f>
        <v>1</v>
      </c>
      <c r="R417" s="1998">
        <f>IF(Construction!$F$31=Construction!$R$22,Oeko!CE417,Oeko!ER417)</f>
        <v>1</v>
      </c>
      <c r="S417" s="1979">
        <f>IF(Construction!$F$31=Construction!$R$22,Oeko!CF417,Oeko!ES417)</f>
        <v>1</v>
      </c>
      <c r="T417" s="1979">
        <f>IF(Construction!$F$31=Construction!$R$22,Oeko!CG417,Oeko!ET417)</f>
        <v>1</v>
      </c>
      <c r="U417" s="1979">
        <f>IF(Construction!$F$31=Construction!$R$22,Oeko!CH417,Oeko!EU417)</f>
        <v>1</v>
      </c>
      <c r="V417" s="1979">
        <f>IF(Construction!$F$31=Construction!$R$22,Oeko!CI417,Oeko!EV417)</f>
        <v>1</v>
      </c>
      <c r="W417" s="1979">
        <f>IF(Construction!$F$31=Construction!$R$22,Oeko!CJ417,Oeko!EW417)</f>
        <v>1</v>
      </c>
      <c r="X417" s="1998">
        <f>IF(Construction!$F$31=Construction!$R$22,Oeko!CK417,Oeko!EX417)</f>
        <v>1</v>
      </c>
      <c r="Y417" s="1998">
        <f>IF(Construction!$F$31=Construction!$R$22,Oeko!CL417,Oeko!EY417)</f>
        <v>1</v>
      </c>
      <c r="Z417" s="1998">
        <f>IF(Construction!$F$31=Construction!$R$22,Oeko!CM417,Oeko!EZ417)</f>
        <v>1</v>
      </c>
      <c r="AA417" s="1998">
        <f>IF(Construction!$F$31=Construction!$R$22,Oeko!CN417,Oeko!FA417)</f>
        <v>1</v>
      </c>
      <c r="AB417" s="1998">
        <f>IF(Construction!$F$31=Construction!$R$22,Oeko!CO417,Oeko!FB417)</f>
        <v>1</v>
      </c>
      <c r="AC417" s="1979">
        <f>IF(Construction!$F$31=Construction!$R$22,Oeko!CP417,Oeko!FC417)</f>
        <v>1</v>
      </c>
      <c r="AD417" s="1979">
        <f>IF(Construction!$F$31=Construction!$R$22,Oeko!CQ417,Oeko!FD417)</f>
        <v>1</v>
      </c>
      <c r="AE417" s="1979">
        <f>IF(Construction!$F$31=Construction!$R$22,Oeko!CR417,Oeko!FE417)</f>
        <v>1</v>
      </c>
      <c r="AF417" s="1979">
        <f>IF(Construction!$F$31=Construction!$R$22,Oeko!CS417,Oeko!FF417)</f>
        <v>1</v>
      </c>
      <c r="AG417" s="1979">
        <f>IF(Construction!$F$31=Construction!$R$22,Oeko!CT417,Oeko!FG417)</f>
        <v>1</v>
      </c>
      <c r="AH417" s="1998">
        <f>IF(Construction!$F$31=Construction!$R$22,Oeko!CU417,Oeko!FH417)</f>
        <v>1</v>
      </c>
      <c r="AI417" s="1998">
        <f>IF(Construction!$F$31=Construction!$R$22,Oeko!CV417,Oeko!FI417)</f>
        <v>1</v>
      </c>
      <c r="AJ417" s="1998">
        <f>IF(Construction!$F$31=Construction!$R$22,Oeko!CW417,Oeko!FJ417)</f>
        <v>1</v>
      </c>
      <c r="AK417" s="1998">
        <f>IF(Construction!$F$31=Construction!$R$22,Oeko!CX417,Oeko!FK417)</f>
        <v>1</v>
      </c>
      <c r="AL417" s="1998">
        <f>IF(Construction!$F$31=Construction!$R$22,Oeko!CY417,Oeko!FL417)</f>
        <v>1</v>
      </c>
      <c r="AM417" s="1979">
        <f>IF(Construction!$F$31=Construction!$R$22,Oeko!CZ417,Oeko!FM417)</f>
        <v>1</v>
      </c>
      <c r="AN417" s="1979">
        <f>IF(Construction!$F$31=Construction!$R$22,Oeko!DA417,Oeko!FN417)</f>
        <v>1</v>
      </c>
      <c r="AO417" s="1979">
        <f>IF(Construction!$F$31=Construction!$R$22,Oeko!DB417,Oeko!FO417)</f>
        <v>1</v>
      </c>
      <c r="AP417" s="1979">
        <f>IF(Construction!$F$31=Construction!$R$22,Oeko!DC417,Oeko!FP417)</f>
        <v>1</v>
      </c>
      <c r="AQ417" s="1979">
        <f>IF(Construction!$F$31=Construction!$R$22,Oeko!DD417,Oeko!FQ417)</f>
        <v>1</v>
      </c>
      <c r="AR417" s="1998">
        <f>IF(Construction!$F$31=Construction!$R$22,Oeko!DE417,Oeko!FR417)</f>
        <v>1</v>
      </c>
      <c r="AS417" s="1998">
        <f>IF(Construction!$F$31=Construction!$R$22,Oeko!DF417,Oeko!FS417)</f>
        <v>1</v>
      </c>
      <c r="AT417" s="1998">
        <f>IF(Construction!$F$31=Construction!$R$22,Oeko!DG417,Oeko!FT417)</f>
        <v>1</v>
      </c>
      <c r="AU417" s="1998">
        <f>IF(Construction!$F$31=Construction!$R$22,Oeko!DH417,Oeko!FU417)</f>
        <v>1</v>
      </c>
      <c r="AV417" s="1998">
        <f>IF(Construction!$F$31=Construction!$R$22,Oeko!DI417,Oeko!FV417)</f>
        <v>1</v>
      </c>
      <c r="AW417" s="1979">
        <f>IF(Construction!$F$31=Construction!$R$22,Oeko!DJ417,Oeko!FW417)</f>
        <v>1</v>
      </c>
      <c r="AX417" s="1979">
        <f>IF(Construction!$F$31=Construction!$R$22,Oeko!DK417,Oeko!FX417)</f>
        <v>1</v>
      </c>
      <c r="AY417" s="1979">
        <f>IF(Construction!$F$31=Construction!$R$22,Oeko!DL417,Oeko!FY417)</f>
        <v>1</v>
      </c>
      <c r="AZ417" s="1979">
        <f>IF(Construction!$F$31=Construction!$R$22,Oeko!DM417,Oeko!FZ417)</f>
        <v>1</v>
      </c>
      <c r="BA417" s="1979">
        <f>IF(Construction!$F$31=Construction!$R$22,Oeko!DN417,Oeko!GA417)</f>
        <v>1</v>
      </c>
      <c r="BB417" s="1998">
        <f>IF(Construction!$F$31=Construction!$R$22,Oeko!DO417,Oeko!GB417)</f>
        <v>1</v>
      </c>
      <c r="BC417" s="1998">
        <f>IF(Construction!$F$31=Construction!$R$22,Oeko!DP417,Oeko!GC417)</f>
        <v>1</v>
      </c>
      <c r="BD417" s="1998">
        <f>IF(Construction!$F$31=Construction!$R$22,Oeko!DQ417,Oeko!GD417)</f>
        <v>1</v>
      </c>
      <c r="BE417" s="1998">
        <f>IF(Construction!$F$31=Construction!$R$22,Oeko!DR417,Oeko!GE417)</f>
        <v>1</v>
      </c>
      <c r="BF417" s="1998">
        <f>IF(Construction!$F$31=Construction!$R$22,Oeko!DS417,Oeko!GF417)</f>
        <v>1</v>
      </c>
      <c r="BG417" s="1979">
        <f>IF(Construction!$F$31=Construction!$R$22,Oeko!DT417,Oeko!GG417)</f>
        <v>1</v>
      </c>
      <c r="BH417" s="1979">
        <f>IF(Construction!$F$31=Construction!$R$22,Oeko!DU417,Oeko!GH417)</f>
        <v>1</v>
      </c>
      <c r="BI417" s="1979">
        <f>IF(Construction!$F$31=Construction!$R$22,Oeko!DV417,Oeko!GI417)</f>
        <v>1</v>
      </c>
      <c r="BJ417" s="1979">
        <f>IF(Construction!$F$31=Construction!$R$22,Oeko!DW417,Oeko!GJ417)</f>
        <v>1</v>
      </c>
      <c r="BK417" s="2021">
        <f>IF(Construction!$F$31=Construction!$R$22,Oeko!DX417,Oeko!GK417)</f>
        <v>1</v>
      </c>
      <c r="BN417" s="2022"/>
      <c r="BO417" s="2">
        <v>33</v>
      </c>
      <c r="BP417" s="2" t="str">
        <f>$AD$17</f>
        <v>Pieu en béton préfabriqué (battus)</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Pieu en béton préfabriqué (battus)</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IF(Construction!$F$31=Construction!$R$22,Oeko!BQ418,Oeko!ED418)</f>
        <v>1</v>
      </c>
      <c r="E418" s="1998">
        <f>IF(Construction!$F$31=Construction!$R$22,Oeko!BR418,Oeko!EE418)</f>
        <v>1</v>
      </c>
      <c r="F418" s="1998">
        <f>IF(Construction!$F$31=Construction!$R$22,Oeko!BS418,Oeko!EF418)</f>
        <v>1</v>
      </c>
      <c r="G418" s="1998">
        <f>IF(Construction!$F$31=Construction!$R$22,Oeko!BT418,Oeko!EG418)</f>
        <v>1</v>
      </c>
      <c r="H418" s="1998">
        <f>IF(Construction!$F$31=Construction!$R$22,Oeko!BU418,Oeko!EH418)</f>
        <v>1</v>
      </c>
      <c r="I418" s="1979">
        <f>IF(Construction!$F$31=Construction!$R$22,Oeko!BV418,Oeko!EI418)</f>
        <v>1</v>
      </c>
      <c r="J418" s="1979">
        <f>IF(Construction!$F$31=Construction!$R$22,Oeko!BW418,Oeko!EJ418)</f>
        <v>1</v>
      </c>
      <c r="K418" s="1979">
        <f>IF(Construction!$F$31=Construction!$R$22,Oeko!BX418,Oeko!EK418)</f>
        <v>1</v>
      </c>
      <c r="L418" s="1979">
        <f>IF(Construction!$F$31=Construction!$R$22,Oeko!BY418,Oeko!EL418)</f>
        <v>1</v>
      </c>
      <c r="M418" s="1979">
        <f>IF(Construction!$F$31=Construction!$R$22,Oeko!BZ418,Oeko!EM418)</f>
        <v>1</v>
      </c>
      <c r="N418" s="1998">
        <f>IF(Construction!$F$31=Construction!$R$22,Oeko!CA418,Oeko!EN418)</f>
        <v>1</v>
      </c>
      <c r="O418" s="1998">
        <f>IF(Construction!$F$31=Construction!$R$22,Oeko!CB418,Oeko!EO418)</f>
        <v>1</v>
      </c>
      <c r="P418" s="1998">
        <f>IF(Construction!$F$31=Construction!$R$22,Oeko!CC418,Oeko!EP418)</f>
        <v>1</v>
      </c>
      <c r="Q418" s="1998">
        <f>IF(Construction!$F$31=Construction!$R$22,Oeko!CD418,Oeko!EQ418)</f>
        <v>1</v>
      </c>
      <c r="R418" s="1998">
        <f>IF(Construction!$F$31=Construction!$R$22,Oeko!CE418,Oeko!ER418)</f>
        <v>1</v>
      </c>
      <c r="S418" s="1979">
        <f>IF(Construction!$F$31=Construction!$R$22,Oeko!CF418,Oeko!ES418)</f>
        <v>1</v>
      </c>
      <c r="T418" s="1979">
        <f>IF(Construction!$F$31=Construction!$R$22,Oeko!CG418,Oeko!ET418)</f>
        <v>1</v>
      </c>
      <c r="U418" s="1979">
        <f>IF(Construction!$F$31=Construction!$R$22,Oeko!CH418,Oeko!EU418)</f>
        <v>1</v>
      </c>
      <c r="V418" s="1979">
        <f>IF(Construction!$F$31=Construction!$R$22,Oeko!CI418,Oeko!EV418)</f>
        <v>1</v>
      </c>
      <c r="W418" s="1979">
        <f>IF(Construction!$F$31=Construction!$R$22,Oeko!CJ418,Oeko!EW418)</f>
        <v>1</v>
      </c>
      <c r="X418" s="1998">
        <f>IF(Construction!$F$31=Construction!$R$22,Oeko!CK418,Oeko!EX418)</f>
        <v>1</v>
      </c>
      <c r="Y418" s="1998">
        <f>IF(Construction!$F$31=Construction!$R$22,Oeko!CL418,Oeko!EY418)</f>
        <v>1</v>
      </c>
      <c r="Z418" s="1998">
        <f>IF(Construction!$F$31=Construction!$R$22,Oeko!CM418,Oeko!EZ418)</f>
        <v>1</v>
      </c>
      <c r="AA418" s="1998">
        <f>IF(Construction!$F$31=Construction!$R$22,Oeko!CN418,Oeko!FA418)</f>
        <v>1</v>
      </c>
      <c r="AB418" s="1998">
        <f>IF(Construction!$F$31=Construction!$R$22,Oeko!CO418,Oeko!FB418)</f>
        <v>1</v>
      </c>
      <c r="AC418" s="1979">
        <f>IF(Construction!$F$31=Construction!$R$22,Oeko!CP418,Oeko!FC418)</f>
        <v>1</v>
      </c>
      <c r="AD418" s="1979">
        <f>IF(Construction!$F$31=Construction!$R$22,Oeko!CQ418,Oeko!FD418)</f>
        <v>1</v>
      </c>
      <c r="AE418" s="1979">
        <f>IF(Construction!$F$31=Construction!$R$22,Oeko!CR418,Oeko!FE418)</f>
        <v>1</v>
      </c>
      <c r="AF418" s="1979">
        <f>IF(Construction!$F$31=Construction!$R$22,Oeko!CS418,Oeko!FF418)</f>
        <v>1</v>
      </c>
      <c r="AG418" s="1979">
        <f>IF(Construction!$F$31=Construction!$R$22,Oeko!CT418,Oeko!FG418)</f>
        <v>1</v>
      </c>
      <c r="AH418" s="1998">
        <f>IF(Construction!$F$31=Construction!$R$22,Oeko!CU418,Oeko!FH418)</f>
        <v>1</v>
      </c>
      <c r="AI418" s="1998">
        <f>IF(Construction!$F$31=Construction!$R$22,Oeko!CV418,Oeko!FI418)</f>
        <v>1</v>
      </c>
      <c r="AJ418" s="1998">
        <f>IF(Construction!$F$31=Construction!$R$22,Oeko!CW418,Oeko!FJ418)</f>
        <v>1</v>
      </c>
      <c r="AK418" s="1998">
        <f>IF(Construction!$F$31=Construction!$R$22,Oeko!CX418,Oeko!FK418)</f>
        <v>1</v>
      </c>
      <c r="AL418" s="1998">
        <f>IF(Construction!$F$31=Construction!$R$22,Oeko!CY418,Oeko!FL418)</f>
        <v>1</v>
      </c>
      <c r="AM418" s="1979">
        <f>IF(Construction!$F$31=Construction!$R$22,Oeko!CZ418,Oeko!FM418)</f>
        <v>1</v>
      </c>
      <c r="AN418" s="1979">
        <f>IF(Construction!$F$31=Construction!$R$22,Oeko!DA418,Oeko!FN418)</f>
        <v>1</v>
      </c>
      <c r="AO418" s="1979">
        <f>IF(Construction!$F$31=Construction!$R$22,Oeko!DB418,Oeko!FO418)</f>
        <v>1</v>
      </c>
      <c r="AP418" s="1979">
        <f>IF(Construction!$F$31=Construction!$R$22,Oeko!DC418,Oeko!FP418)</f>
        <v>1</v>
      </c>
      <c r="AQ418" s="1979">
        <f>IF(Construction!$F$31=Construction!$R$22,Oeko!DD418,Oeko!FQ418)</f>
        <v>1</v>
      </c>
      <c r="AR418" s="1998">
        <f>IF(Construction!$F$31=Construction!$R$22,Oeko!DE418,Oeko!FR418)</f>
        <v>1</v>
      </c>
      <c r="AS418" s="1998">
        <f>IF(Construction!$F$31=Construction!$R$22,Oeko!DF418,Oeko!FS418)</f>
        <v>1</v>
      </c>
      <c r="AT418" s="1998">
        <f>IF(Construction!$F$31=Construction!$R$22,Oeko!DG418,Oeko!FT418)</f>
        <v>1</v>
      </c>
      <c r="AU418" s="1998">
        <f>IF(Construction!$F$31=Construction!$R$22,Oeko!DH418,Oeko!FU418)</f>
        <v>1</v>
      </c>
      <c r="AV418" s="1998">
        <f>IF(Construction!$F$31=Construction!$R$22,Oeko!DI418,Oeko!FV418)</f>
        <v>1</v>
      </c>
      <c r="AW418" s="1979">
        <f>IF(Construction!$F$31=Construction!$R$22,Oeko!DJ418,Oeko!FW418)</f>
        <v>1</v>
      </c>
      <c r="AX418" s="1979">
        <f>IF(Construction!$F$31=Construction!$R$22,Oeko!DK418,Oeko!FX418)</f>
        <v>1</v>
      </c>
      <c r="AY418" s="1979">
        <f>IF(Construction!$F$31=Construction!$R$22,Oeko!DL418,Oeko!FY418)</f>
        <v>1</v>
      </c>
      <c r="AZ418" s="1979">
        <f>IF(Construction!$F$31=Construction!$R$22,Oeko!DM418,Oeko!FZ418)</f>
        <v>1</v>
      </c>
      <c r="BA418" s="1979">
        <f>IF(Construction!$F$31=Construction!$R$22,Oeko!DN418,Oeko!GA418)</f>
        <v>1</v>
      </c>
      <c r="BB418" s="1998">
        <f>IF(Construction!$F$31=Construction!$R$22,Oeko!DO418,Oeko!GB418)</f>
        <v>1</v>
      </c>
      <c r="BC418" s="1998">
        <f>IF(Construction!$F$31=Construction!$R$22,Oeko!DP418,Oeko!GC418)</f>
        <v>1</v>
      </c>
      <c r="BD418" s="1998">
        <f>IF(Construction!$F$31=Construction!$R$22,Oeko!DQ418,Oeko!GD418)</f>
        <v>1</v>
      </c>
      <c r="BE418" s="1998">
        <f>IF(Construction!$F$31=Construction!$R$22,Oeko!DR418,Oeko!GE418)</f>
        <v>1</v>
      </c>
      <c r="BF418" s="1998">
        <f>IF(Construction!$F$31=Construction!$R$22,Oeko!DS418,Oeko!GF418)</f>
        <v>1</v>
      </c>
      <c r="BG418" s="1979">
        <f>IF(Construction!$F$31=Construction!$R$22,Oeko!DT418,Oeko!GG418)</f>
        <v>1</v>
      </c>
      <c r="BH418" s="1979">
        <f>IF(Construction!$F$31=Construction!$R$22,Oeko!DU418,Oeko!GH418)</f>
        <v>1</v>
      </c>
      <c r="BI418" s="1979">
        <f>IF(Construction!$F$31=Construction!$R$22,Oeko!DV418,Oeko!GI418)</f>
        <v>1</v>
      </c>
      <c r="BJ418" s="1979">
        <f>IF(Construction!$F$31=Construction!$R$22,Oeko!DW418,Oeko!GJ418)</f>
        <v>1</v>
      </c>
      <c r="BK418" s="2021">
        <f>IF(Construction!$F$31=Construction!$R$22,Oeko!DX418,Oeko!GK418)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IF(Construction!$F$31=Construction!$R$22,Oeko!BQ419,Oeko!ED419)</f>
        <v>1</v>
      </c>
      <c r="E419" s="1998">
        <f>IF(Construction!$F$31=Construction!$R$22,Oeko!BR419,Oeko!EE419)</f>
        <v>1</v>
      </c>
      <c r="F419" s="1998">
        <f>IF(Construction!$F$31=Construction!$R$22,Oeko!BS419,Oeko!EF419)</f>
        <v>1</v>
      </c>
      <c r="G419" s="1998">
        <f>IF(Construction!$F$31=Construction!$R$22,Oeko!BT419,Oeko!EG419)</f>
        <v>1</v>
      </c>
      <c r="H419" s="1998">
        <f>IF(Construction!$F$31=Construction!$R$22,Oeko!BU419,Oeko!EH419)</f>
        <v>1</v>
      </c>
      <c r="I419" s="1979">
        <f>IF(Construction!$F$31=Construction!$R$22,Oeko!BV419,Oeko!EI419)</f>
        <v>1</v>
      </c>
      <c r="J419" s="1979">
        <f>IF(Construction!$F$31=Construction!$R$22,Oeko!BW419,Oeko!EJ419)</f>
        <v>1</v>
      </c>
      <c r="K419" s="1979">
        <f>IF(Construction!$F$31=Construction!$R$22,Oeko!BX419,Oeko!EK419)</f>
        <v>1</v>
      </c>
      <c r="L419" s="1979">
        <f>IF(Construction!$F$31=Construction!$R$22,Oeko!BY419,Oeko!EL419)</f>
        <v>1</v>
      </c>
      <c r="M419" s="1979">
        <f>IF(Construction!$F$31=Construction!$R$22,Oeko!BZ419,Oeko!EM419)</f>
        <v>1</v>
      </c>
      <c r="N419" s="1998">
        <f>IF(Construction!$F$31=Construction!$R$22,Oeko!CA419,Oeko!EN419)</f>
        <v>1</v>
      </c>
      <c r="O419" s="1998">
        <f>IF(Construction!$F$31=Construction!$R$22,Oeko!CB419,Oeko!EO419)</f>
        <v>1</v>
      </c>
      <c r="P419" s="1998">
        <f>IF(Construction!$F$31=Construction!$R$22,Oeko!CC419,Oeko!EP419)</f>
        <v>1</v>
      </c>
      <c r="Q419" s="1998">
        <f>IF(Construction!$F$31=Construction!$R$22,Oeko!CD419,Oeko!EQ419)</f>
        <v>1</v>
      </c>
      <c r="R419" s="1998">
        <f>IF(Construction!$F$31=Construction!$R$22,Oeko!CE419,Oeko!ER419)</f>
        <v>1</v>
      </c>
      <c r="S419" s="1979">
        <f>IF(Construction!$F$31=Construction!$R$22,Oeko!CF419,Oeko!ES419)</f>
        <v>1</v>
      </c>
      <c r="T419" s="1979">
        <f>IF(Construction!$F$31=Construction!$R$22,Oeko!CG419,Oeko!ET419)</f>
        <v>1</v>
      </c>
      <c r="U419" s="1979">
        <f>IF(Construction!$F$31=Construction!$R$22,Oeko!CH419,Oeko!EU419)</f>
        <v>1</v>
      </c>
      <c r="V419" s="1979">
        <f>IF(Construction!$F$31=Construction!$R$22,Oeko!CI419,Oeko!EV419)</f>
        <v>1</v>
      </c>
      <c r="W419" s="1979">
        <f>IF(Construction!$F$31=Construction!$R$22,Oeko!CJ419,Oeko!EW419)</f>
        <v>1</v>
      </c>
      <c r="X419" s="1998">
        <f>IF(Construction!$F$31=Construction!$R$22,Oeko!CK419,Oeko!EX419)</f>
        <v>1</v>
      </c>
      <c r="Y419" s="1998">
        <f>IF(Construction!$F$31=Construction!$R$22,Oeko!CL419,Oeko!EY419)</f>
        <v>1</v>
      </c>
      <c r="Z419" s="1998">
        <f>IF(Construction!$F$31=Construction!$R$22,Oeko!CM419,Oeko!EZ419)</f>
        <v>1</v>
      </c>
      <c r="AA419" s="1998">
        <f>IF(Construction!$F$31=Construction!$R$22,Oeko!CN419,Oeko!FA419)</f>
        <v>1</v>
      </c>
      <c r="AB419" s="1998">
        <f>IF(Construction!$F$31=Construction!$R$22,Oeko!CO419,Oeko!FB419)</f>
        <v>1</v>
      </c>
      <c r="AC419" s="1979">
        <f>IF(Construction!$F$31=Construction!$R$22,Oeko!CP419,Oeko!FC419)</f>
        <v>1</v>
      </c>
      <c r="AD419" s="1979">
        <f>IF(Construction!$F$31=Construction!$R$22,Oeko!CQ419,Oeko!FD419)</f>
        <v>1</v>
      </c>
      <c r="AE419" s="1979">
        <f>IF(Construction!$F$31=Construction!$R$22,Oeko!CR419,Oeko!FE419)</f>
        <v>1</v>
      </c>
      <c r="AF419" s="1979">
        <f>IF(Construction!$F$31=Construction!$R$22,Oeko!CS419,Oeko!FF419)</f>
        <v>1</v>
      </c>
      <c r="AG419" s="1979">
        <f>IF(Construction!$F$31=Construction!$R$22,Oeko!CT419,Oeko!FG419)</f>
        <v>1</v>
      </c>
      <c r="AH419" s="1998">
        <f>IF(Construction!$F$31=Construction!$R$22,Oeko!CU419,Oeko!FH419)</f>
        <v>1</v>
      </c>
      <c r="AI419" s="1998">
        <f>IF(Construction!$F$31=Construction!$R$22,Oeko!CV419,Oeko!FI419)</f>
        <v>1</v>
      </c>
      <c r="AJ419" s="1998">
        <f>IF(Construction!$F$31=Construction!$R$22,Oeko!CW419,Oeko!FJ419)</f>
        <v>1</v>
      </c>
      <c r="AK419" s="1998">
        <f>IF(Construction!$F$31=Construction!$R$22,Oeko!CX419,Oeko!FK419)</f>
        <v>1</v>
      </c>
      <c r="AL419" s="1998">
        <f>IF(Construction!$F$31=Construction!$R$22,Oeko!CY419,Oeko!FL419)</f>
        <v>1</v>
      </c>
      <c r="AM419" s="1979">
        <f>IF(Construction!$F$31=Construction!$R$22,Oeko!CZ419,Oeko!FM419)</f>
        <v>1</v>
      </c>
      <c r="AN419" s="1979">
        <f>IF(Construction!$F$31=Construction!$R$22,Oeko!DA419,Oeko!FN419)</f>
        <v>1</v>
      </c>
      <c r="AO419" s="1979">
        <f>IF(Construction!$F$31=Construction!$R$22,Oeko!DB419,Oeko!FO419)</f>
        <v>1</v>
      </c>
      <c r="AP419" s="1979">
        <f>IF(Construction!$F$31=Construction!$R$22,Oeko!DC419,Oeko!FP419)</f>
        <v>1</v>
      </c>
      <c r="AQ419" s="1979">
        <f>IF(Construction!$F$31=Construction!$R$22,Oeko!DD419,Oeko!FQ419)</f>
        <v>1</v>
      </c>
      <c r="AR419" s="1998">
        <f>IF(Construction!$F$31=Construction!$R$22,Oeko!DE419,Oeko!FR419)</f>
        <v>1</v>
      </c>
      <c r="AS419" s="1998">
        <f>IF(Construction!$F$31=Construction!$R$22,Oeko!DF419,Oeko!FS419)</f>
        <v>1</v>
      </c>
      <c r="AT419" s="1998">
        <f>IF(Construction!$F$31=Construction!$R$22,Oeko!DG419,Oeko!FT419)</f>
        <v>1</v>
      </c>
      <c r="AU419" s="1998">
        <f>IF(Construction!$F$31=Construction!$R$22,Oeko!DH419,Oeko!FU419)</f>
        <v>1</v>
      </c>
      <c r="AV419" s="1998">
        <f>IF(Construction!$F$31=Construction!$R$22,Oeko!DI419,Oeko!FV419)</f>
        <v>1</v>
      </c>
      <c r="AW419" s="1979">
        <f>IF(Construction!$F$31=Construction!$R$22,Oeko!DJ419,Oeko!FW419)</f>
        <v>1</v>
      </c>
      <c r="AX419" s="1979">
        <f>IF(Construction!$F$31=Construction!$R$22,Oeko!DK419,Oeko!FX419)</f>
        <v>1</v>
      </c>
      <c r="AY419" s="1979">
        <f>IF(Construction!$F$31=Construction!$R$22,Oeko!DL419,Oeko!FY419)</f>
        <v>1</v>
      </c>
      <c r="AZ419" s="1979">
        <f>IF(Construction!$F$31=Construction!$R$22,Oeko!DM419,Oeko!FZ419)</f>
        <v>1</v>
      </c>
      <c r="BA419" s="1979">
        <f>IF(Construction!$F$31=Construction!$R$22,Oeko!DN419,Oeko!GA419)</f>
        <v>1</v>
      </c>
      <c r="BB419" s="1998">
        <f>IF(Construction!$F$31=Construction!$R$22,Oeko!DO419,Oeko!GB419)</f>
        <v>1</v>
      </c>
      <c r="BC419" s="1998">
        <f>IF(Construction!$F$31=Construction!$R$22,Oeko!DP419,Oeko!GC419)</f>
        <v>1</v>
      </c>
      <c r="BD419" s="1998">
        <f>IF(Construction!$F$31=Construction!$R$22,Oeko!DQ419,Oeko!GD419)</f>
        <v>1</v>
      </c>
      <c r="BE419" s="1998">
        <f>IF(Construction!$F$31=Construction!$R$22,Oeko!DR419,Oeko!GE419)</f>
        <v>1</v>
      </c>
      <c r="BF419" s="1998">
        <f>IF(Construction!$F$31=Construction!$R$22,Oeko!DS419,Oeko!GF419)</f>
        <v>1</v>
      </c>
      <c r="BG419" s="1979">
        <f>IF(Construction!$F$31=Construction!$R$22,Oeko!DT419,Oeko!GG419)</f>
        <v>1</v>
      </c>
      <c r="BH419" s="1979">
        <f>IF(Construction!$F$31=Construction!$R$22,Oeko!DU419,Oeko!GH419)</f>
        <v>1</v>
      </c>
      <c r="BI419" s="1979">
        <f>IF(Construction!$F$31=Construction!$R$22,Oeko!DV419,Oeko!GI419)</f>
        <v>1</v>
      </c>
      <c r="BJ419" s="1979">
        <f>IF(Construction!$F$31=Construction!$R$22,Oeko!DW419,Oeko!GJ419)</f>
        <v>1</v>
      </c>
      <c r="BK419" s="2021">
        <f>IF(Construction!$F$31=Construction!$R$22,Oeko!DX419,Oeko!GK419)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IF(Construction!$F$31=Construction!$R$22,Oeko!BQ420,Oeko!ED420)</f>
        <v>1</v>
      </c>
      <c r="E420" s="1998">
        <f>IF(Construction!$F$31=Construction!$R$22,Oeko!BR420,Oeko!EE420)</f>
        <v>1</v>
      </c>
      <c r="F420" s="1998">
        <f>IF(Construction!$F$31=Construction!$R$22,Oeko!BS420,Oeko!EF420)</f>
        <v>1</v>
      </c>
      <c r="G420" s="1998">
        <f>IF(Construction!$F$31=Construction!$R$22,Oeko!BT420,Oeko!EG420)</f>
        <v>1</v>
      </c>
      <c r="H420" s="1998">
        <f>IF(Construction!$F$31=Construction!$R$22,Oeko!BU420,Oeko!EH420)</f>
        <v>1</v>
      </c>
      <c r="I420" s="1979">
        <f>IF(Construction!$F$31=Construction!$R$22,Oeko!BV420,Oeko!EI420)</f>
        <v>1</v>
      </c>
      <c r="J420" s="1979">
        <f>IF(Construction!$F$31=Construction!$R$22,Oeko!BW420,Oeko!EJ420)</f>
        <v>1</v>
      </c>
      <c r="K420" s="1979">
        <f>IF(Construction!$F$31=Construction!$R$22,Oeko!BX420,Oeko!EK420)</f>
        <v>1</v>
      </c>
      <c r="L420" s="1979">
        <f>IF(Construction!$F$31=Construction!$R$22,Oeko!BY420,Oeko!EL420)</f>
        <v>1</v>
      </c>
      <c r="M420" s="1979">
        <f>IF(Construction!$F$31=Construction!$R$22,Oeko!BZ420,Oeko!EM420)</f>
        <v>1</v>
      </c>
      <c r="N420" s="1998">
        <f>IF(Construction!$F$31=Construction!$R$22,Oeko!CA420,Oeko!EN420)</f>
        <v>1</v>
      </c>
      <c r="O420" s="1998">
        <f>IF(Construction!$F$31=Construction!$R$22,Oeko!CB420,Oeko!EO420)</f>
        <v>1</v>
      </c>
      <c r="P420" s="1998">
        <f>IF(Construction!$F$31=Construction!$R$22,Oeko!CC420,Oeko!EP420)</f>
        <v>1</v>
      </c>
      <c r="Q420" s="1998">
        <f>IF(Construction!$F$31=Construction!$R$22,Oeko!CD420,Oeko!EQ420)</f>
        <v>1</v>
      </c>
      <c r="R420" s="1998">
        <f>IF(Construction!$F$31=Construction!$R$22,Oeko!CE420,Oeko!ER420)</f>
        <v>1</v>
      </c>
      <c r="S420" s="1979">
        <f>IF(Construction!$F$31=Construction!$R$22,Oeko!CF420,Oeko!ES420)</f>
        <v>1</v>
      </c>
      <c r="T420" s="1979">
        <f>IF(Construction!$F$31=Construction!$R$22,Oeko!CG420,Oeko!ET420)</f>
        <v>1</v>
      </c>
      <c r="U420" s="1979">
        <f>IF(Construction!$F$31=Construction!$R$22,Oeko!CH420,Oeko!EU420)</f>
        <v>1</v>
      </c>
      <c r="V420" s="1979">
        <f>IF(Construction!$F$31=Construction!$R$22,Oeko!CI420,Oeko!EV420)</f>
        <v>1</v>
      </c>
      <c r="W420" s="1979">
        <f>IF(Construction!$F$31=Construction!$R$22,Oeko!CJ420,Oeko!EW420)</f>
        <v>1</v>
      </c>
      <c r="X420" s="1998">
        <f>IF(Construction!$F$31=Construction!$R$22,Oeko!CK420,Oeko!EX420)</f>
        <v>1</v>
      </c>
      <c r="Y420" s="1998">
        <f>IF(Construction!$F$31=Construction!$R$22,Oeko!CL420,Oeko!EY420)</f>
        <v>1</v>
      </c>
      <c r="Z420" s="1998">
        <f>IF(Construction!$F$31=Construction!$R$22,Oeko!CM420,Oeko!EZ420)</f>
        <v>1</v>
      </c>
      <c r="AA420" s="1998">
        <f>IF(Construction!$F$31=Construction!$R$22,Oeko!CN420,Oeko!FA420)</f>
        <v>1</v>
      </c>
      <c r="AB420" s="1998">
        <f>IF(Construction!$F$31=Construction!$R$22,Oeko!CO420,Oeko!FB420)</f>
        <v>1</v>
      </c>
      <c r="AC420" s="1979">
        <f>IF(Construction!$F$31=Construction!$R$22,Oeko!CP420,Oeko!FC420)</f>
        <v>1</v>
      </c>
      <c r="AD420" s="1979">
        <f>IF(Construction!$F$31=Construction!$R$22,Oeko!CQ420,Oeko!FD420)</f>
        <v>1</v>
      </c>
      <c r="AE420" s="1979">
        <f>IF(Construction!$F$31=Construction!$R$22,Oeko!CR420,Oeko!FE420)</f>
        <v>1</v>
      </c>
      <c r="AF420" s="1979">
        <f>IF(Construction!$F$31=Construction!$R$22,Oeko!CS420,Oeko!FF420)</f>
        <v>1</v>
      </c>
      <c r="AG420" s="1979">
        <f>IF(Construction!$F$31=Construction!$R$22,Oeko!CT420,Oeko!FG420)</f>
        <v>1</v>
      </c>
      <c r="AH420" s="1998">
        <f>IF(Construction!$F$31=Construction!$R$22,Oeko!CU420,Oeko!FH420)</f>
        <v>1</v>
      </c>
      <c r="AI420" s="1998">
        <f>IF(Construction!$F$31=Construction!$R$22,Oeko!CV420,Oeko!FI420)</f>
        <v>1</v>
      </c>
      <c r="AJ420" s="1998">
        <f>IF(Construction!$F$31=Construction!$R$22,Oeko!CW420,Oeko!FJ420)</f>
        <v>1</v>
      </c>
      <c r="AK420" s="1998">
        <f>IF(Construction!$F$31=Construction!$R$22,Oeko!CX420,Oeko!FK420)</f>
        <v>1</v>
      </c>
      <c r="AL420" s="1998">
        <f>IF(Construction!$F$31=Construction!$R$22,Oeko!CY420,Oeko!FL420)</f>
        <v>1</v>
      </c>
      <c r="AM420" s="1979">
        <f>IF(Construction!$F$31=Construction!$R$22,Oeko!CZ420,Oeko!FM420)</f>
        <v>1</v>
      </c>
      <c r="AN420" s="1979">
        <f>IF(Construction!$F$31=Construction!$R$22,Oeko!DA420,Oeko!FN420)</f>
        <v>1</v>
      </c>
      <c r="AO420" s="1979">
        <f>IF(Construction!$F$31=Construction!$R$22,Oeko!DB420,Oeko!FO420)</f>
        <v>1</v>
      </c>
      <c r="AP420" s="1979">
        <f>IF(Construction!$F$31=Construction!$R$22,Oeko!DC420,Oeko!FP420)</f>
        <v>1</v>
      </c>
      <c r="AQ420" s="1979">
        <f>IF(Construction!$F$31=Construction!$R$22,Oeko!DD420,Oeko!FQ420)</f>
        <v>1</v>
      </c>
      <c r="AR420" s="1998">
        <f>IF(Construction!$F$31=Construction!$R$22,Oeko!DE420,Oeko!FR420)</f>
        <v>1</v>
      </c>
      <c r="AS420" s="1998">
        <f>IF(Construction!$F$31=Construction!$R$22,Oeko!DF420,Oeko!FS420)</f>
        <v>1</v>
      </c>
      <c r="AT420" s="1998">
        <f>IF(Construction!$F$31=Construction!$R$22,Oeko!DG420,Oeko!FT420)</f>
        <v>1</v>
      </c>
      <c r="AU420" s="1998">
        <f>IF(Construction!$F$31=Construction!$R$22,Oeko!DH420,Oeko!FU420)</f>
        <v>1</v>
      </c>
      <c r="AV420" s="1998">
        <f>IF(Construction!$F$31=Construction!$R$22,Oeko!DI420,Oeko!FV420)</f>
        <v>1</v>
      </c>
      <c r="AW420" s="1979">
        <f>IF(Construction!$F$31=Construction!$R$22,Oeko!DJ420,Oeko!FW420)</f>
        <v>1</v>
      </c>
      <c r="AX420" s="1979">
        <f>IF(Construction!$F$31=Construction!$R$22,Oeko!DK420,Oeko!FX420)</f>
        <v>1</v>
      </c>
      <c r="AY420" s="1979">
        <f>IF(Construction!$F$31=Construction!$R$22,Oeko!DL420,Oeko!FY420)</f>
        <v>1</v>
      </c>
      <c r="AZ420" s="1979">
        <f>IF(Construction!$F$31=Construction!$R$22,Oeko!DM420,Oeko!FZ420)</f>
        <v>1</v>
      </c>
      <c r="BA420" s="1979">
        <f>IF(Construction!$F$31=Construction!$R$22,Oeko!DN420,Oeko!GA420)</f>
        <v>1</v>
      </c>
      <c r="BB420" s="1998">
        <f>IF(Construction!$F$31=Construction!$R$22,Oeko!DO420,Oeko!GB420)</f>
        <v>1</v>
      </c>
      <c r="BC420" s="1998">
        <f>IF(Construction!$F$31=Construction!$R$22,Oeko!DP420,Oeko!GC420)</f>
        <v>1</v>
      </c>
      <c r="BD420" s="1998">
        <f>IF(Construction!$F$31=Construction!$R$22,Oeko!DQ420,Oeko!GD420)</f>
        <v>1</v>
      </c>
      <c r="BE420" s="1998">
        <f>IF(Construction!$F$31=Construction!$R$22,Oeko!DR420,Oeko!GE420)</f>
        <v>1</v>
      </c>
      <c r="BF420" s="1998">
        <f>IF(Construction!$F$31=Construction!$R$22,Oeko!DS420,Oeko!GF420)</f>
        <v>1</v>
      </c>
      <c r="BG420" s="1979">
        <f>IF(Construction!$F$31=Construction!$R$22,Oeko!DT420,Oeko!GG420)</f>
        <v>1</v>
      </c>
      <c r="BH420" s="1979">
        <f>IF(Construction!$F$31=Construction!$R$22,Oeko!DU420,Oeko!GH420)</f>
        <v>1</v>
      </c>
      <c r="BI420" s="1979">
        <f>IF(Construction!$F$31=Construction!$R$22,Oeko!DV420,Oeko!GI420)</f>
        <v>1</v>
      </c>
      <c r="BJ420" s="1979">
        <f>IF(Construction!$F$31=Construction!$R$22,Oeko!DW420,Oeko!GJ420)</f>
        <v>1</v>
      </c>
      <c r="BK420" s="2021">
        <f>IF(Construction!$F$31=Construction!$R$22,Oeko!DX420,Oeko!GK420)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IF(Construction!$F$31=Construction!$R$22,Oeko!BQ421,Oeko!ED421)</f>
        <v>1</v>
      </c>
      <c r="E421" s="1998">
        <f>IF(Construction!$F$31=Construction!$R$22,Oeko!BR421,Oeko!EE421)</f>
        <v>1</v>
      </c>
      <c r="F421" s="1998">
        <f>IF(Construction!$F$31=Construction!$R$22,Oeko!BS421,Oeko!EF421)</f>
        <v>1</v>
      </c>
      <c r="G421" s="1998">
        <f>IF(Construction!$F$31=Construction!$R$22,Oeko!BT421,Oeko!EG421)</f>
        <v>1</v>
      </c>
      <c r="H421" s="1998">
        <f>IF(Construction!$F$31=Construction!$R$22,Oeko!BU421,Oeko!EH421)</f>
        <v>1</v>
      </c>
      <c r="I421" s="1979">
        <f>IF(Construction!$F$31=Construction!$R$22,Oeko!BV421,Oeko!EI421)</f>
        <v>1</v>
      </c>
      <c r="J421" s="1979">
        <f>IF(Construction!$F$31=Construction!$R$22,Oeko!BW421,Oeko!EJ421)</f>
        <v>1</v>
      </c>
      <c r="K421" s="1979">
        <f>IF(Construction!$F$31=Construction!$R$22,Oeko!BX421,Oeko!EK421)</f>
        <v>1</v>
      </c>
      <c r="L421" s="1979">
        <f>IF(Construction!$F$31=Construction!$R$22,Oeko!BY421,Oeko!EL421)</f>
        <v>1</v>
      </c>
      <c r="M421" s="1979">
        <f>IF(Construction!$F$31=Construction!$R$22,Oeko!BZ421,Oeko!EM421)</f>
        <v>1</v>
      </c>
      <c r="N421" s="1998">
        <f>IF(Construction!$F$31=Construction!$R$22,Oeko!CA421,Oeko!EN421)</f>
        <v>1</v>
      </c>
      <c r="O421" s="1998">
        <f>IF(Construction!$F$31=Construction!$R$22,Oeko!CB421,Oeko!EO421)</f>
        <v>1</v>
      </c>
      <c r="P421" s="1998">
        <f>IF(Construction!$F$31=Construction!$R$22,Oeko!CC421,Oeko!EP421)</f>
        <v>1</v>
      </c>
      <c r="Q421" s="1998">
        <f>IF(Construction!$F$31=Construction!$R$22,Oeko!CD421,Oeko!EQ421)</f>
        <v>1</v>
      </c>
      <c r="R421" s="1998">
        <f>IF(Construction!$F$31=Construction!$R$22,Oeko!CE421,Oeko!ER421)</f>
        <v>1</v>
      </c>
      <c r="S421" s="1979">
        <f>IF(Construction!$F$31=Construction!$R$22,Oeko!CF421,Oeko!ES421)</f>
        <v>1</v>
      </c>
      <c r="T421" s="1979">
        <f>IF(Construction!$F$31=Construction!$R$22,Oeko!CG421,Oeko!ET421)</f>
        <v>1</v>
      </c>
      <c r="U421" s="1979">
        <f>IF(Construction!$F$31=Construction!$R$22,Oeko!CH421,Oeko!EU421)</f>
        <v>1</v>
      </c>
      <c r="V421" s="1979">
        <f>IF(Construction!$F$31=Construction!$R$22,Oeko!CI421,Oeko!EV421)</f>
        <v>1</v>
      </c>
      <c r="W421" s="1979">
        <f>IF(Construction!$F$31=Construction!$R$22,Oeko!CJ421,Oeko!EW421)</f>
        <v>1</v>
      </c>
      <c r="X421" s="1998">
        <f>IF(Construction!$F$31=Construction!$R$22,Oeko!CK421,Oeko!EX421)</f>
        <v>1</v>
      </c>
      <c r="Y421" s="1998">
        <f>IF(Construction!$F$31=Construction!$R$22,Oeko!CL421,Oeko!EY421)</f>
        <v>1</v>
      </c>
      <c r="Z421" s="1998">
        <f>IF(Construction!$F$31=Construction!$R$22,Oeko!CM421,Oeko!EZ421)</f>
        <v>1</v>
      </c>
      <c r="AA421" s="1998">
        <f>IF(Construction!$F$31=Construction!$R$22,Oeko!CN421,Oeko!FA421)</f>
        <v>1</v>
      </c>
      <c r="AB421" s="1998">
        <f>IF(Construction!$F$31=Construction!$R$22,Oeko!CO421,Oeko!FB421)</f>
        <v>1</v>
      </c>
      <c r="AC421" s="1979">
        <f>IF(Construction!$F$31=Construction!$R$22,Oeko!CP421,Oeko!FC421)</f>
        <v>1</v>
      </c>
      <c r="AD421" s="1979">
        <f>IF(Construction!$F$31=Construction!$R$22,Oeko!CQ421,Oeko!FD421)</f>
        <v>1</v>
      </c>
      <c r="AE421" s="1979">
        <f>IF(Construction!$F$31=Construction!$R$22,Oeko!CR421,Oeko!FE421)</f>
        <v>1</v>
      </c>
      <c r="AF421" s="1979">
        <f>IF(Construction!$F$31=Construction!$R$22,Oeko!CS421,Oeko!FF421)</f>
        <v>1</v>
      </c>
      <c r="AG421" s="1979">
        <f>IF(Construction!$F$31=Construction!$R$22,Oeko!CT421,Oeko!FG421)</f>
        <v>1</v>
      </c>
      <c r="AH421" s="1998">
        <f>IF(Construction!$F$31=Construction!$R$22,Oeko!CU421,Oeko!FH421)</f>
        <v>1</v>
      </c>
      <c r="AI421" s="1998">
        <f>IF(Construction!$F$31=Construction!$R$22,Oeko!CV421,Oeko!FI421)</f>
        <v>1</v>
      </c>
      <c r="AJ421" s="1998">
        <f>IF(Construction!$F$31=Construction!$R$22,Oeko!CW421,Oeko!FJ421)</f>
        <v>1</v>
      </c>
      <c r="AK421" s="1998">
        <f>IF(Construction!$F$31=Construction!$R$22,Oeko!CX421,Oeko!FK421)</f>
        <v>1</v>
      </c>
      <c r="AL421" s="1998">
        <f>IF(Construction!$F$31=Construction!$R$22,Oeko!CY421,Oeko!FL421)</f>
        <v>1</v>
      </c>
      <c r="AM421" s="1979">
        <f>IF(Construction!$F$31=Construction!$R$22,Oeko!CZ421,Oeko!FM421)</f>
        <v>1</v>
      </c>
      <c r="AN421" s="1979">
        <f>IF(Construction!$F$31=Construction!$R$22,Oeko!DA421,Oeko!FN421)</f>
        <v>1</v>
      </c>
      <c r="AO421" s="1979">
        <f>IF(Construction!$F$31=Construction!$R$22,Oeko!DB421,Oeko!FO421)</f>
        <v>1</v>
      </c>
      <c r="AP421" s="1979">
        <f>IF(Construction!$F$31=Construction!$R$22,Oeko!DC421,Oeko!FP421)</f>
        <v>1</v>
      </c>
      <c r="AQ421" s="1979">
        <f>IF(Construction!$F$31=Construction!$R$22,Oeko!DD421,Oeko!FQ421)</f>
        <v>1</v>
      </c>
      <c r="AR421" s="1998">
        <f>IF(Construction!$F$31=Construction!$R$22,Oeko!DE421,Oeko!FR421)</f>
        <v>1</v>
      </c>
      <c r="AS421" s="1998">
        <f>IF(Construction!$F$31=Construction!$R$22,Oeko!DF421,Oeko!FS421)</f>
        <v>1</v>
      </c>
      <c r="AT421" s="1998">
        <f>IF(Construction!$F$31=Construction!$R$22,Oeko!DG421,Oeko!FT421)</f>
        <v>1</v>
      </c>
      <c r="AU421" s="1998">
        <f>IF(Construction!$F$31=Construction!$R$22,Oeko!DH421,Oeko!FU421)</f>
        <v>1</v>
      </c>
      <c r="AV421" s="1998">
        <f>IF(Construction!$F$31=Construction!$R$22,Oeko!DI421,Oeko!FV421)</f>
        <v>1</v>
      </c>
      <c r="AW421" s="1979">
        <f>IF(Construction!$F$31=Construction!$R$22,Oeko!DJ421,Oeko!FW421)</f>
        <v>1</v>
      </c>
      <c r="AX421" s="1979">
        <f>IF(Construction!$F$31=Construction!$R$22,Oeko!DK421,Oeko!FX421)</f>
        <v>1</v>
      </c>
      <c r="AY421" s="1979">
        <f>IF(Construction!$F$31=Construction!$R$22,Oeko!DL421,Oeko!FY421)</f>
        <v>1</v>
      </c>
      <c r="AZ421" s="1979">
        <f>IF(Construction!$F$31=Construction!$R$22,Oeko!DM421,Oeko!FZ421)</f>
        <v>1</v>
      </c>
      <c r="BA421" s="1979">
        <f>IF(Construction!$F$31=Construction!$R$22,Oeko!DN421,Oeko!GA421)</f>
        <v>1</v>
      </c>
      <c r="BB421" s="1998">
        <f>IF(Construction!$F$31=Construction!$R$22,Oeko!DO421,Oeko!GB421)</f>
        <v>1</v>
      </c>
      <c r="BC421" s="1998">
        <f>IF(Construction!$F$31=Construction!$R$22,Oeko!DP421,Oeko!GC421)</f>
        <v>1</v>
      </c>
      <c r="BD421" s="1998">
        <f>IF(Construction!$F$31=Construction!$R$22,Oeko!DQ421,Oeko!GD421)</f>
        <v>1</v>
      </c>
      <c r="BE421" s="1998">
        <f>IF(Construction!$F$31=Construction!$R$22,Oeko!DR421,Oeko!GE421)</f>
        <v>1</v>
      </c>
      <c r="BF421" s="1998">
        <f>IF(Construction!$F$31=Construction!$R$22,Oeko!DS421,Oeko!GF421)</f>
        <v>1</v>
      </c>
      <c r="BG421" s="1979">
        <f>IF(Construction!$F$31=Construction!$R$22,Oeko!DT421,Oeko!GG421)</f>
        <v>1</v>
      </c>
      <c r="BH421" s="1979">
        <f>IF(Construction!$F$31=Construction!$R$22,Oeko!DU421,Oeko!GH421)</f>
        <v>1</v>
      </c>
      <c r="BI421" s="1979">
        <f>IF(Construction!$F$31=Construction!$R$22,Oeko!DV421,Oeko!GI421)</f>
        <v>1</v>
      </c>
      <c r="BJ421" s="1979">
        <f>IF(Construction!$F$31=Construction!$R$22,Oeko!DW421,Oeko!GJ421)</f>
        <v>1</v>
      </c>
      <c r="BK421" s="2021">
        <f>IF(Construction!$F$31=Construction!$R$22,Oeko!DX421,Oeko!GK421)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IF(Construction!$F$31=Construction!$R$22,Oeko!BQ422,Oeko!ED422)</f>
        <v>1</v>
      </c>
      <c r="E422" s="1998">
        <f>IF(Construction!$F$31=Construction!$R$22,Oeko!BR422,Oeko!EE422)</f>
        <v>1</v>
      </c>
      <c r="F422" s="1998">
        <f>IF(Construction!$F$31=Construction!$R$22,Oeko!BS422,Oeko!EF422)</f>
        <v>1</v>
      </c>
      <c r="G422" s="1998">
        <f>IF(Construction!$F$31=Construction!$R$22,Oeko!BT422,Oeko!EG422)</f>
        <v>1</v>
      </c>
      <c r="H422" s="1998">
        <f>IF(Construction!$F$31=Construction!$R$22,Oeko!BU422,Oeko!EH422)</f>
        <v>1</v>
      </c>
      <c r="I422" s="1979">
        <f>IF(Construction!$F$31=Construction!$R$22,Oeko!BV422,Oeko!EI422)</f>
        <v>1</v>
      </c>
      <c r="J422" s="1979">
        <f>IF(Construction!$F$31=Construction!$R$22,Oeko!BW422,Oeko!EJ422)</f>
        <v>1</v>
      </c>
      <c r="K422" s="1979">
        <f>IF(Construction!$F$31=Construction!$R$22,Oeko!BX422,Oeko!EK422)</f>
        <v>1</v>
      </c>
      <c r="L422" s="1979">
        <f>IF(Construction!$F$31=Construction!$R$22,Oeko!BY422,Oeko!EL422)</f>
        <v>1</v>
      </c>
      <c r="M422" s="1979">
        <f>IF(Construction!$F$31=Construction!$R$22,Oeko!BZ422,Oeko!EM422)</f>
        <v>1</v>
      </c>
      <c r="N422" s="1998">
        <f>IF(Construction!$F$31=Construction!$R$22,Oeko!CA422,Oeko!EN422)</f>
        <v>1</v>
      </c>
      <c r="O422" s="1998">
        <f>IF(Construction!$F$31=Construction!$R$22,Oeko!CB422,Oeko!EO422)</f>
        <v>1</v>
      </c>
      <c r="P422" s="1998">
        <f>IF(Construction!$F$31=Construction!$R$22,Oeko!CC422,Oeko!EP422)</f>
        <v>1</v>
      </c>
      <c r="Q422" s="1998">
        <f>IF(Construction!$F$31=Construction!$R$22,Oeko!CD422,Oeko!EQ422)</f>
        <v>1</v>
      </c>
      <c r="R422" s="1998">
        <f>IF(Construction!$F$31=Construction!$R$22,Oeko!CE422,Oeko!ER422)</f>
        <v>1</v>
      </c>
      <c r="S422" s="1979">
        <f>IF(Construction!$F$31=Construction!$R$22,Oeko!CF422,Oeko!ES422)</f>
        <v>1</v>
      </c>
      <c r="T422" s="1979">
        <f>IF(Construction!$F$31=Construction!$R$22,Oeko!CG422,Oeko!ET422)</f>
        <v>1</v>
      </c>
      <c r="U422" s="1979">
        <f>IF(Construction!$F$31=Construction!$R$22,Oeko!CH422,Oeko!EU422)</f>
        <v>1</v>
      </c>
      <c r="V422" s="1979">
        <f>IF(Construction!$F$31=Construction!$R$22,Oeko!CI422,Oeko!EV422)</f>
        <v>1</v>
      </c>
      <c r="W422" s="1979">
        <f>IF(Construction!$F$31=Construction!$R$22,Oeko!CJ422,Oeko!EW422)</f>
        <v>1</v>
      </c>
      <c r="X422" s="1998">
        <f>IF(Construction!$F$31=Construction!$R$22,Oeko!CK422,Oeko!EX422)</f>
        <v>1</v>
      </c>
      <c r="Y422" s="1998">
        <f>IF(Construction!$F$31=Construction!$R$22,Oeko!CL422,Oeko!EY422)</f>
        <v>1</v>
      </c>
      <c r="Z422" s="1998">
        <f>IF(Construction!$F$31=Construction!$R$22,Oeko!CM422,Oeko!EZ422)</f>
        <v>1</v>
      </c>
      <c r="AA422" s="1998">
        <f>IF(Construction!$F$31=Construction!$R$22,Oeko!CN422,Oeko!FA422)</f>
        <v>1</v>
      </c>
      <c r="AB422" s="1998">
        <f>IF(Construction!$F$31=Construction!$R$22,Oeko!CO422,Oeko!FB422)</f>
        <v>1</v>
      </c>
      <c r="AC422" s="1979">
        <f>IF(Construction!$F$31=Construction!$R$22,Oeko!CP422,Oeko!FC422)</f>
        <v>1</v>
      </c>
      <c r="AD422" s="1979">
        <f>IF(Construction!$F$31=Construction!$R$22,Oeko!CQ422,Oeko!FD422)</f>
        <v>1</v>
      </c>
      <c r="AE422" s="1979">
        <f>IF(Construction!$F$31=Construction!$R$22,Oeko!CR422,Oeko!FE422)</f>
        <v>1</v>
      </c>
      <c r="AF422" s="1979">
        <f>IF(Construction!$F$31=Construction!$R$22,Oeko!CS422,Oeko!FF422)</f>
        <v>1</v>
      </c>
      <c r="AG422" s="1979">
        <f>IF(Construction!$F$31=Construction!$R$22,Oeko!CT422,Oeko!FG422)</f>
        <v>1</v>
      </c>
      <c r="AH422" s="1998">
        <f>IF(Construction!$F$31=Construction!$R$22,Oeko!CU422,Oeko!FH422)</f>
        <v>1</v>
      </c>
      <c r="AI422" s="1998">
        <f>IF(Construction!$F$31=Construction!$R$22,Oeko!CV422,Oeko!FI422)</f>
        <v>1</v>
      </c>
      <c r="AJ422" s="1998">
        <f>IF(Construction!$F$31=Construction!$R$22,Oeko!CW422,Oeko!FJ422)</f>
        <v>1</v>
      </c>
      <c r="AK422" s="1998">
        <f>IF(Construction!$F$31=Construction!$R$22,Oeko!CX422,Oeko!FK422)</f>
        <v>1</v>
      </c>
      <c r="AL422" s="1998">
        <f>IF(Construction!$F$31=Construction!$R$22,Oeko!CY422,Oeko!FL422)</f>
        <v>1</v>
      </c>
      <c r="AM422" s="1979">
        <f>IF(Construction!$F$31=Construction!$R$22,Oeko!CZ422,Oeko!FM422)</f>
        <v>1</v>
      </c>
      <c r="AN422" s="1979">
        <f>IF(Construction!$F$31=Construction!$R$22,Oeko!DA422,Oeko!FN422)</f>
        <v>1</v>
      </c>
      <c r="AO422" s="1979">
        <f>IF(Construction!$F$31=Construction!$R$22,Oeko!DB422,Oeko!FO422)</f>
        <v>1</v>
      </c>
      <c r="AP422" s="1979">
        <f>IF(Construction!$F$31=Construction!$R$22,Oeko!DC422,Oeko!FP422)</f>
        <v>1</v>
      </c>
      <c r="AQ422" s="1979">
        <f>IF(Construction!$F$31=Construction!$R$22,Oeko!DD422,Oeko!FQ422)</f>
        <v>1</v>
      </c>
      <c r="AR422" s="1998">
        <f>IF(Construction!$F$31=Construction!$R$22,Oeko!DE422,Oeko!FR422)</f>
        <v>1</v>
      </c>
      <c r="AS422" s="1998">
        <f>IF(Construction!$F$31=Construction!$R$22,Oeko!DF422,Oeko!FS422)</f>
        <v>1</v>
      </c>
      <c r="AT422" s="1998">
        <f>IF(Construction!$F$31=Construction!$R$22,Oeko!DG422,Oeko!FT422)</f>
        <v>1</v>
      </c>
      <c r="AU422" s="1998">
        <f>IF(Construction!$F$31=Construction!$R$22,Oeko!DH422,Oeko!FU422)</f>
        <v>1</v>
      </c>
      <c r="AV422" s="1998">
        <f>IF(Construction!$F$31=Construction!$R$22,Oeko!DI422,Oeko!FV422)</f>
        <v>1</v>
      </c>
      <c r="AW422" s="1979">
        <f>IF(Construction!$F$31=Construction!$R$22,Oeko!DJ422,Oeko!FW422)</f>
        <v>1</v>
      </c>
      <c r="AX422" s="1979">
        <f>IF(Construction!$F$31=Construction!$R$22,Oeko!DK422,Oeko!FX422)</f>
        <v>1</v>
      </c>
      <c r="AY422" s="1979">
        <f>IF(Construction!$F$31=Construction!$R$22,Oeko!DL422,Oeko!FY422)</f>
        <v>1</v>
      </c>
      <c r="AZ422" s="1979">
        <f>IF(Construction!$F$31=Construction!$R$22,Oeko!DM422,Oeko!FZ422)</f>
        <v>1</v>
      </c>
      <c r="BA422" s="1979">
        <f>IF(Construction!$F$31=Construction!$R$22,Oeko!DN422,Oeko!GA422)</f>
        <v>1</v>
      </c>
      <c r="BB422" s="1998">
        <f>IF(Construction!$F$31=Construction!$R$22,Oeko!DO422,Oeko!GB422)</f>
        <v>1</v>
      </c>
      <c r="BC422" s="1998">
        <f>IF(Construction!$F$31=Construction!$R$22,Oeko!DP422,Oeko!GC422)</f>
        <v>1</v>
      </c>
      <c r="BD422" s="1998">
        <f>IF(Construction!$F$31=Construction!$R$22,Oeko!DQ422,Oeko!GD422)</f>
        <v>1</v>
      </c>
      <c r="BE422" s="1998">
        <f>IF(Construction!$F$31=Construction!$R$22,Oeko!DR422,Oeko!GE422)</f>
        <v>1</v>
      </c>
      <c r="BF422" s="1998">
        <f>IF(Construction!$F$31=Construction!$R$22,Oeko!DS422,Oeko!GF422)</f>
        <v>1</v>
      </c>
      <c r="BG422" s="1979">
        <f>IF(Construction!$F$31=Construction!$R$22,Oeko!DT422,Oeko!GG422)</f>
        <v>1</v>
      </c>
      <c r="BH422" s="1979">
        <f>IF(Construction!$F$31=Construction!$R$22,Oeko!DU422,Oeko!GH422)</f>
        <v>1</v>
      </c>
      <c r="BI422" s="1979">
        <f>IF(Construction!$F$31=Construction!$R$22,Oeko!DV422,Oeko!GI422)</f>
        <v>1</v>
      </c>
      <c r="BJ422" s="1979">
        <f>IF(Construction!$F$31=Construction!$R$22,Oeko!DW422,Oeko!GJ422)</f>
        <v>1</v>
      </c>
      <c r="BK422" s="2021">
        <f>IF(Construction!$F$31=Construction!$R$22,Oeko!DX422,Oeko!GK422)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IF(Construction!$F$31=Construction!$R$22,Oeko!BQ423,Oeko!ED423)</f>
        <v>1</v>
      </c>
      <c r="E423" s="1998">
        <f>IF(Construction!$F$31=Construction!$R$22,Oeko!BR423,Oeko!EE423)</f>
        <v>1</v>
      </c>
      <c r="F423" s="1998">
        <f>IF(Construction!$F$31=Construction!$R$22,Oeko!BS423,Oeko!EF423)</f>
        <v>1</v>
      </c>
      <c r="G423" s="1998">
        <f>IF(Construction!$F$31=Construction!$R$22,Oeko!BT423,Oeko!EG423)</f>
        <v>1</v>
      </c>
      <c r="H423" s="1998">
        <f>IF(Construction!$F$31=Construction!$R$22,Oeko!BU423,Oeko!EH423)</f>
        <v>1</v>
      </c>
      <c r="I423" s="1979">
        <f>IF(Construction!$F$31=Construction!$R$22,Oeko!BV423,Oeko!EI423)</f>
        <v>1</v>
      </c>
      <c r="J423" s="1979">
        <f>IF(Construction!$F$31=Construction!$R$22,Oeko!BW423,Oeko!EJ423)</f>
        <v>1</v>
      </c>
      <c r="K423" s="1979">
        <f>IF(Construction!$F$31=Construction!$R$22,Oeko!BX423,Oeko!EK423)</f>
        <v>1</v>
      </c>
      <c r="L423" s="1979">
        <f>IF(Construction!$F$31=Construction!$R$22,Oeko!BY423,Oeko!EL423)</f>
        <v>1</v>
      </c>
      <c r="M423" s="1979">
        <f>IF(Construction!$F$31=Construction!$R$22,Oeko!BZ423,Oeko!EM423)</f>
        <v>1</v>
      </c>
      <c r="N423" s="1998">
        <f>IF(Construction!$F$31=Construction!$R$22,Oeko!CA423,Oeko!EN423)</f>
        <v>1</v>
      </c>
      <c r="O423" s="1998">
        <f>IF(Construction!$F$31=Construction!$R$22,Oeko!CB423,Oeko!EO423)</f>
        <v>1</v>
      </c>
      <c r="P423" s="1998">
        <f>IF(Construction!$F$31=Construction!$R$22,Oeko!CC423,Oeko!EP423)</f>
        <v>1</v>
      </c>
      <c r="Q423" s="1998">
        <f>IF(Construction!$F$31=Construction!$R$22,Oeko!CD423,Oeko!EQ423)</f>
        <v>1</v>
      </c>
      <c r="R423" s="1998">
        <f>IF(Construction!$F$31=Construction!$R$22,Oeko!CE423,Oeko!ER423)</f>
        <v>1</v>
      </c>
      <c r="S423" s="1979">
        <f>IF(Construction!$F$31=Construction!$R$22,Oeko!CF423,Oeko!ES423)</f>
        <v>1</v>
      </c>
      <c r="T423" s="1979">
        <f>IF(Construction!$F$31=Construction!$R$22,Oeko!CG423,Oeko!ET423)</f>
        <v>1</v>
      </c>
      <c r="U423" s="1979">
        <f>IF(Construction!$F$31=Construction!$R$22,Oeko!CH423,Oeko!EU423)</f>
        <v>1</v>
      </c>
      <c r="V423" s="1979">
        <f>IF(Construction!$F$31=Construction!$R$22,Oeko!CI423,Oeko!EV423)</f>
        <v>1</v>
      </c>
      <c r="W423" s="1979">
        <f>IF(Construction!$F$31=Construction!$R$22,Oeko!CJ423,Oeko!EW423)</f>
        <v>1</v>
      </c>
      <c r="X423" s="1998">
        <f>IF(Construction!$F$31=Construction!$R$22,Oeko!CK423,Oeko!EX423)</f>
        <v>1</v>
      </c>
      <c r="Y423" s="1998">
        <f>IF(Construction!$F$31=Construction!$R$22,Oeko!CL423,Oeko!EY423)</f>
        <v>1</v>
      </c>
      <c r="Z423" s="1998">
        <f>IF(Construction!$F$31=Construction!$R$22,Oeko!CM423,Oeko!EZ423)</f>
        <v>1</v>
      </c>
      <c r="AA423" s="1998">
        <f>IF(Construction!$F$31=Construction!$R$22,Oeko!CN423,Oeko!FA423)</f>
        <v>1</v>
      </c>
      <c r="AB423" s="1998">
        <f>IF(Construction!$F$31=Construction!$R$22,Oeko!CO423,Oeko!FB423)</f>
        <v>1</v>
      </c>
      <c r="AC423" s="1979">
        <f>IF(Construction!$F$31=Construction!$R$22,Oeko!CP423,Oeko!FC423)</f>
        <v>1</v>
      </c>
      <c r="AD423" s="1979">
        <f>IF(Construction!$F$31=Construction!$R$22,Oeko!CQ423,Oeko!FD423)</f>
        <v>1</v>
      </c>
      <c r="AE423" s="1979">
        <f>IF(Construction!$F$31=Construction!$R$22,Oeko!CR423,Oeko!FE423)</f>
        <v>1</v>
      </c>
      <c r="AF423" s="1979">
        <f>IF(Construction!$F$31=Construction!$R$22,Oeko!CS423,Oeko!FF423)</f>
        <v>1</v>
      </c>
      <c r="AG423" s="1979">
        <f>IF(Construction!$F$31=Construction!$R$22,Oeko!CT423,Oeko!FG423)</f>
        <v>1</v>
      </c>
      <c r="AH423" s="1998">
        <f>IF(Construction!$F$31=Construction!$R$22,Oeko!CU423,Oeko!FH423)</f>
        <v>1</v>
      </c>
      <c r="AI423" s="1998">
        <f>IF(Construction!$F$31=Construction!$R$22,Oeko!CV423,Oeko!FI423)</f>
        <v>1</v>
      </c>
      <c r="AJ423" s="1998">
        <f>IF(Construction!$F$31=Construction!$R$22,Oeko!CW423,Oeko!FJ423)</f>
        <v>1</v>
      </c>
      <c r="AK423" s="1998">
        <f>IF(Construction!$F$31=Construction!$R$22,Oeko!CX423,Oeko!FK423)</f>
        <v>1</v>
      </c>
      <c r="AL423" s="1998">
        <f>IF(Construction!$F$31=Construction!$R$22,Oeko!CY423,Oeko!FL423)</f>
        <v>1</v>
      </c>
      <c r="AM423" s="1979">
        <f>IF(Construction!$F$31=Construction!$R$22,Oeko!CZ423,Oeko!FM423)</f>
        <v>1</v>
      </c>
      <c r="AN423" s="1979">
        <f>IF(Construction!$F$31=Construction!$R$22,Oeko!DA423,Oeko!FN423)</f>
        <v>1</v>
      </c>
      <c r="AO423" s="1979">
        <f>IF(Construction!$F$31=Construction!$R$22,Oeko!DB423,Oeko!FO423)</f>
        <v>1</v>
      </c>
      <c r="AP423" s="1979">
        <f>IF(Construction!$F$31=Construction!$R$22,Oeko!DC423,Oeko!FP423)</f>
        <v>1</v>
      </c>
      <c r="AQ423" s="1979">
        <f>IF(Construction!$F$31=Construction!$R$22,Oeko!DD423,Oeko!FQ423)</f>
        <v>1</v>
      </c>
      <c r="AR423" s="1998">
        <f>IF(Construction!$F$31=Construction!$R$22,Oeko!DE423,Oeko!FR423)</f>
        <v>1</v>
      </c>
      <c r="AS423" s="1998">
        <f>IF(Construction!$F$31=Construction!$R$22,Oeko!DF423,Oeko!FS423)</f>
        <v>1</v>
      </c>
      <c r="AT423" s="1998">
        <f>IF(Construction!$F$31=Construction!$R$22,Oeko!DG423,Oeko!FT423)</f>
        <v>1</v>
      </c>
      <c r="AU423" s="1998">
        <f>IF(Construction!$F$31=Construction!$R$22,Oeko!DH423,Oeko!FU423)</f>
        <v>1</v>
      </c>
      <c r="AV423" s="1998">
        <f>IF(Construction!$F$31=Construction!$R$22,Oeko!DI423,Oeko!FV423)</f>
        <v>1</v>
      </c>
      <c r="AW423" s="1979">
        <f>IF(Construction!$F$31=Construction!$R$22,Oeko!DJ423,Oeko!FW423)</f>
        <v>1</v>
      </c>
      <c r="AX423" s="1979">
        <f>IF(Construction!$F$31=Construction!$R$22,Oeko!DK423,Oeko!FX423)</f>
        <v>1</v>
      </c>
      <c r="AY423" s="1979">
        <f>IF(Construction!$F$31=Construction!$R$22,Oeko!DL423,Oeko!FY423)</f>
        <v>1</v>
      </c>
      <c r="AZ423" s="1979">
        <f>IF(Construction!$F$31=Construction!$R$22,Oeko!DM423,Oeko!FZ423)</f>
        <v>1</v>
      </c>
      <c r="BA423" s="1979">
        <f>IF(Construction!$F$31=Construction!$R$22,Oeko!DN423,Oeko!GA423)</f>
        <v>1</v>
      </c>
      <c r="BB423" s="1998">
        <f>IF(Construction!$F$31=Construction!$R$22,Oeko!DO423,Oeko!GB423)</f>
        <v>1</v>
      </c>
      <c r="BC423" s="1998">
        <f>IF(Construction!$F$31=Construction!$R$22,Oeko!DP423,Oeko!GC423)</f>
        <v>1</v>
      </c>
      <c r="BD423" s="1998">
        <f>IF(Construction!$F$31=Construction!$R$22,Oeko!DQ423,Oeko!GD423)</f>
        <v>1</v>
      </c>
      <c r="BE423" s="1998">
        <f>IF(Construction!$F$31=Construction!$R$22,Oeko!DR423,Oeko!GE423)</f>
        <v>1</v>
      </c>
      <c r="BF423" s="1998">
        <f>IF(Construction!$F$31=Construction!$R$22,Oeko!DS423,Oeko!GF423)</f>
        <v>1</v>
      </c>
      <c r="BG423" s="1979">
        <f>IF(Construction!$F$31=Construction!$R$22,Oeko!DT423,Oeko!GG423)</f>
        <v>1</v>
      </c>
      <c r="BH423" s="1979">
        <f>IF(Construction!$F$31=Construction!$R$22,Oeko!DU423,Oeko!GH423)</f>
        <v>1</v>
      </c>
      <c r="BI423" s="1979">
        <f>IF(Construction!$F$31=Construction!$R$22,Oeko!DV423,Oeko!GI423)</f>
        <v>1</v>
      </c>
      <c r="BJ423" s="1979">
        <f>IF(Construction!$F$31=Construction!$R$22,Oeko!DW423,Oeko!GJ423)</f>
        <v>1</v>
      </c>
      <c r="BK423" s="2021">
        <f>IF(Construction!$F$31=Construction!$R$22,Oeko!DX423,Oeko!GK423)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Construction en bois lourde</v>
      </c>
      <c r="B424" s="2">
        <v>1</v>
      </c>
      <c r="C424" s="2" t="s">
        <v>4329</v>
      </c>
      <c r="D424" s="2002">
        <f>IF(Construction!$F$31=Construction!$R$22,Oeko!BQ424,Oeko!ED424)</f>
        <v>6.8398972838222356</v>
      </c>
      <c r="E424" s="2002">
        <f>IF(Construction!$F$31=Construction!$R$22,Oeko!BR424,Oeko!EE424)</f>
        <v>6.9600337543595376</v>
      </c>
      <c r="F424" s="2002">
        <f>IF(Construction!$F$31=Construction!$R$22,Oeko!BS424,Oeko!EF424)</f>
        <v>7.6650245720523342</v>
      </c>
      <c r="G424" s="2002">
        <f>IF(Construction!$F$31=Construction!$R$22,Oeko!BT424,Oeko!EG424)</f>
        <v>8.3709038691665025</v>
      </c>
      <c r="H424" s="2002">
        <f>IF(Construction!$F$31=Construction!$R$22,Oeko!BU424,Oeko!EH424)</f>
        <v>9.0767831662806717</v>
      </c>
      <c r="I424" s="2004">
        <f>IF(Construction!$F$31=Construction!$R$22,Oeko!BV424,Oeko!EI424)</f>
        <v>11.651296631063063</v>
      </c>
      <c r="J424" s="2004">
        <f>IF(Construction!$F$31=Construction!$R$22,Oeko!BW424,Oeko!EJ424)</f>
        <v>12.070021241014528</v>
      </c>
      <c r="K424" s="2004">
        <f>IF(Construction!$F$31=Construction!$R$22,Oeko!BX424,Oeko!EK424)</f>
        <v>13.340729984446908</v>
      </c>
      <c r="L424" s="2004">
        <f>IF(Construction!$F$31=Construction!$R$22,Oeko!BY424,Oeko!EL424)</f>
        <v>14.616312672133674</v>
      </c>
      <c r="M424" s="2004">
        <f>IF(Construction!$F$31=Construction!$R$22,Oeko!BZ424,Oeko!EM424)</f>
        <v>15.89189535982044</v>
      </c>
      <c r="N424" s="2002">
        <f>IF(Construction!$F$31=Construction!$R$22,Oeko!CA424,Oeko!EN424)</f>
        <v>7.8224195737185873</v>
      </c>
      <c r="O424" s="2002">
        <f>IF(Construction!$F$31=Construction!$R$22,Oeko!CB424,Oeko!EO424)</f>
        <v>8.3864166801769215</v>
      </c>
      <c r="P424" s="2002">
        <f>IF(Construction!$F$31=Construction!$R$22,Oeko!CC424,Oeko!EP424)</f>
        <v>6.7248083899201854</v>
      </c>
      <c r="Q424" s="2002">
        <f>IF(Construction!$F$31=Construction!$R$22,Oeko!CD424,Oeko!EQ424)</f>
        <v>6.7324041471997518</v>
      </c>
      <c r="R424" s="2002">
        <f>IF(Construction!$F$31=Construction!$R$22,Oeko!CE424,Oeko!ER424)</f>
        <v>6.7463297022122894</v>
      </c>
      <c r="S424" s="2004">
        <f>IF(Construction!$F$31=Construction!$R$22,Oeko!CF424,Oeko!ES424)</f>
        <v>10.159764727840409</v>
      </c>
      <c r="T424" s="2004">
        <f>IF(Construction!$F$31=Construction!$R$22,Oeko!CG424,Oeko!ET424)</f>
        <v>10.893705105501946</v>
      </c>
      <c r="U424" s="2004">
        <f>IF(Construction!$F$31=Construction!$R$22,Oeko!CH424,Oeko!EU424)</f>
        <v>8.7357494708068373</v>
      </c>
      <c r="V424" s="2004">
        <f>IF(Construction!$F$31=Construction!$R$22,Oeko!CI424,Oeko!EV424)</f>
        <v>8.7467158453792102</v>
      </c>
      <c r="W424" s="2004">
        <f>IF(Construction!$F$31=Construction!$R$22,Oeko!CJ424,Oeko!EW424)</f>
        <v>8.76682086542856</v>
      </c>
      <c r="X424" s="2002">
        <f>IF(Construction!$F$31=Construction!$R$22,Oeko!CK424,Oeko!EX424)</f>
        <v>7.7035873109380457</v>
      </c>
      <c r="Y424" s="2002">
        <f>IF(Construction!$F$31=Construction!$R$22,Oeko!CL424,Oeko!EY424)</f>
        <v>8.2669576461363086</v>
      </c>
      <c r="Z424" s="2002">
        <f>IF(Construction!$F$31=Construction!$R$22,Oeko!CM424,Oeko!EZ424)</f>
        <v>6.6269786385866558</v>
      </c>
      <c r="AA424" s="2002">
        <f>IF(Construction!$F$31=Construction!$R$22,Oeko!CN424,Oeko!FA424)</f>
        <v>6.6395116380979387</v>
      </c>
      <c r="AB424" s="2002">
        <f>IF(Construction!$F$31=Construction!$R$22,Oeko!CO424,Oeko!FB424)</f>
        <v>6.6624888038686265</v>
      </c>
      <c r="AC424" s="2004">
        <f>IF(Construction!$F$31=Construction!$R$22,Oeko!CP424,Oeko!FC424)</f>
        <v>6.6466497598892031</v>
      </c>
      <c r="AD424" s="2004">
        <f>IF(Construction!$F$31=Construction!$R$22,Oeko!CQ424,Oeko!FD424)</f>
        <v>7.1051148693456447</v>
      </c>
      <c r="AE424" s="2004">
        <f>IF(Construction!$F$31=Construction!$R$22,Oeko!CR424,Oeko!FE424)</f>
        <v>5.7784589835202054</v>
      </c>
      <c r="AF424" s="2004">
        <f>IF(Construction!$F$31=Construction!$R$22,Oeko!CS424,Oeko!FF424)</f>
        <v>5.7906438441561754</v>
      </c>
      <c r="AG424" s="2004">
        <f>IF(Construction!$F$31=Construction!$R$22,Oeko!CT424,Oeko!FG424)</f>
        <v>5.8129827553221203</v>
      </c>
      <c r="AH424" s="2002">
        <f>IF(Construction!$F$31=Construction!$R$22,Oeko!CU424,Oeko!FH424)</f>
        <v>12.052810665620454</v>
      </c>
      <c r="AI424" s="2002">
        <f>IF(Construction!$F$31=Construction!$R$22,Oeko!CV424,Oeko!FI424)</f>
        <v>12.125919829436276</v>
      </c>
      <c r="AJ424" s="2002">
        <f>IF(Construction!$F$31=Construction!$R$22,Oeko!CW424,Oeko!FJ424)</f>
        <v>12.192936562934113</v>
      </c>
      <c r="AK424" s="2002">
        <f>IF(Construction!$F$31=Construction!$R$22,Oeko!CX424,Oeko!FK424)</f>
        <v>12.266045726749935</v>
      </c>
      <c r="AL424" s="2002">
        <f>IF(Construction!$F$31=Construction!$R$22,Oeko!CY424,Oeko!FL424)</f>
        <v>12.442726205971507</v>
      </c>
      <c r="AM424" s="2004">
        <f>IF(Construction!$F$31=Construction!$R$22,Oeko!CZ424,Oeko!FM424)</f>
        <v>7.4807003454837435</v>
      </c>
      <c r="AN424" s="2004">
        <f>IF(Construction!$F$31=Construction!$R$22,Oeko!DA424,Oeko!FN424)</f>
        <v>7.599897781169707</v>
      </c>
      <c r="AO424" s="2004">
        <f>IF(Construction!$F$31=Construction!$R$22,Oeko!DB424,Oeko!FO424)</f>
        <v>8.3722857083883611</v>
      </c>
      <c r="AP424" s="2004">
        <f>IF(Construction!$F$31=Construction!$R$22,Oeko!DC424,Oeko!FP424)</f>
        <v>9.146027509011013</v>
      </c>
      <c r="AQ424" s="2004">
        <f>IF(Construction!$F$31=Construction!$R$22,Oeko!DD424,Oeko!FQ424)</f>
        <v>9.9197693096336668</v>
      </c>
      <c r="AR424" s="2002">
        <f>IF(Construction!$F$31=Construction!$R$22,Oeko!DE424,Oeko!FR424)</f>
        <v>92.717891608979073</v>
      </c>
      <c r="AS424" s="2002">
        <f>IF(Construction!$F$31=Construction!$R$22,Oeko!DF424,Oeko!FS424)</f>
        <v>93.054146127354699</v>
      </c>
      <c r="AT424" s="2002">
        <f>IF(Construction!$F$31=Construction!$R$22,Oeko!DG424,Oeko!FT424)</f>
        <v>93.362379435865677</v>
      </c>
      <c r="AU424" s="2002">
        <f>IF(Construction!$F$31=Construction!$R$22,Oeko!DH424,Oeko!FU424)</f>
        <v>93.698633954241302</v>
      </c>
      <c r="AV424" s="2002">
        <f>IF(Construction!$F$31=Construction!$R$22,Oeko!DI424,Oeko!FV424)</f>
        <v>94.511249040315718</v>
      </c>
      <c r="AW424" s="2004">
        <f>IF(Construction!$F$31=Construction!$R$22,Oeko!DJ424,Oeko!FW424)</f>
        <v>90.864233961205741</v>
      </c>
      <c r="AX424" s="2004">
        <f>IF(Construction!$F$31=Construction!$R$22,Oeko!DK424,Oeko!FX424)</f>
        <v>91.199821991416258</v>
      </c>
      <c r="AY424" s="2004">
        <f>IF(Construction!$F$31=Construction!$R$22,Oeko!DL424,Oeko!FY424)</f>
        <v>91.507444352442562</v>
      </c>
      <c r="AZ424" s="2004">
        <f>IF(Construction!$F$31=Construction!$R$22,Oeko!DM424,Oeko!FZ424)</f>
        <v>91.843032382653078</v>
      </c>
      <c r="BA424" s="2004">
        <f>IF(Construction!$F$31=Construction!$R$22,Oeko!DN424,Oeko!GA424)</f>
        <v>92.654036788995128</v>
      </c>
      <c r="BB424" s="2002">
        <f>IF(Construction!$F$31=Construction!$R$22,Oeko!DO424,Oeko!GB424)</f>
        <v>5.6116413522235087</v>
      </c>
      <c r="BC424" s="2002">
        <f>IF(Construction!$F$31=Construction!$R$22,Oeko!DP424,Oeko!GC424)</f>
        <v>5.6693426421149375</v>
      </c>
      <c r="BD424" s="2002">
        <f>IF(Construction!$F$31=Construction!$R$22,Oeko!DQ424,Oeko!GD424)</f>
        <v>5.7270439320063673</v>
      </c>
      <c r="BE424" s="2002">
        <f>IF(Construction!$F$31=Construction!$R$22,Oeko!DR424,Oeko!GE424)</f>
        <v>5.7847452218977971</v>
      </c>
      <c r="BF424" s="2002">
        <f>IF(Construction!$F$31=Construction!$R$22,Oeko!DS424,Oeko!GF424)</f>
        <v>5.8424465117892268</v>
      </c>
      <c r="BG424" s="2004">
        <f>IF(Construction!$F$31=Construction!$R$22,Oeko!DT424,Oeko!GG424)</f>
        <v>5.5677685338982039</v>
      </c>
      <c r="BH424" s="2004">
        <f>IF(Construction!$F$31=Construction!$R$22,Oeko!DU424,Oeko!GH424)</f>
        <v>5.6540017495596357</v>
      </c>
      <c r="BI424" s="2004">
        <f>IF(Construction!$F$31=Construction!$R$22,Oeko!DV424,Oeko!GI424)</f>
        <v>5.7402349652210685</v>
      </c>
      <c r="BJ424" s="2004">
        <f>IF(Construction!$F$31=Construction!$R$22,Oeko!DW424,Oeko!GJ424)</f>
        <v>5.8264681808825021</v>
      </c>
      <c r="BK424" s="2024">
        <f>IF(Construction!$F$31=Construction!$R$22,Oeko!DX424,Oeko!GK424)</f>
        <v>5.9127013965439339</v>
      </c>
      <c r="BN424" s="2025" t="str">
        <f>Uebersetzung!$D632</f>
        <v>Construction en bois lourde</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Construction en bois lourde</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IF(Construction!$F$31=Construction!$R$22,Oeko!BQ425,Oeko!ED425)</f>
        <v>6.787206454825724</v>
      </c>
      <c r="E425" s="1979">
        <f>IF(Construction!$F$31=Construction!$R$22,Oeko!BR425,Oeko!EE425)</f>
        <v>6.9145868172538227</v>
      </c>
      <c r="F425" s="1979">
        <f>IF(Construction!$F$31=Construction!$R$22,Oeko!BS425,Oeko!EF425)</f>
        <v>7.6135088597730283</v>
      </c>
      <c r="G425" s="1979">
        <f>IF(Construction!$F$31=Construction!$R$22,Oeko!BT425,Oeko!EG425)</f>
        <v>8.3136155415207291</v>
      </c>
      <c r="H425" s="1979">
        <f>IF(Construction!$F$31=Construction!$R$22,Oeko!BU425,Oeko!EH425)</f>
        <v>9.0137222232684309</v>
      </c>
      <c r="I425" s="1998">
        <f>IF(Construction!$F$31=Construction!$R$22,Oeko!BV425,Oeko!EI425)</f>
        <v>11.915360785779239</v>
      </c>
      <c r="J425" s="1998">
        <f>IF(Construction!$F$31=Construction!$R$22,Oeko!BW425,Oeko!EJ425)</f>
        <v>12.384458264543023</v>
      </c>
      <c r="K425" s="1998">
        <f>IF(Construction!$F$31=Construction!$R$22,Oeko!BX425,Oeko!EK425)</f>
        <v>13.705539876787718</v>
      </c>
      <c r="L425" s="1998">
        <f>IF(Construction!$F$31=Construction!$R$22,Oeko!BY425,Oeko!EL425)</f>
        <v>15.031495433286802</v>
      </c>
      <c r="M425" s="1998">
        <f>IF(Construction!$F$31=Construction!$R$22,Oeko!BZ425,Oeko!EM425)</f>
        <v>16.357450989785889</v>
      </c>
      <c r="N425" s="1979">
        <f>IF(Construction!$F$31=Construction!$R$22,Oeko!CA425,Oeko!EN425)</f>
        <v>7.9472597510412646</v>
      </c>
      <c r="O425" s="1979">
        <f>IF(Construction!$F$31=Construction!$R$22,Oeko!CB425,Oeko!EO425)</f>
        <v>8.5112568574995962</v>
      </c>
      <c r="P425" s="1979">
        <f>IF(Construction!$F$31=Construction!$R$22,Oeko!CC425,Oeko!EP425)</f>
        <v>6.8496485672428609</v>
      </c>
      <c r="Q425" s="1979">
        <f>IF(Construction!$F$31=Construction!$R$22,Oeko!CD425,Oeko!EQ425)</f>
        <v>6.8572443245224282</v>
      </c>
      <c r="R425" s="1979">
        <f>IF(Construction!$F$31=Construction!$R$22,Oeko!CE425,Oeko!ER425)</f>
        <v>6.8711698795349649</v>
      </c>
      <c r="S425" s="1998">
        <f>IF(Construction!$F$31=Construction!$R$22,Oeko!CF425,Oeko!ES425)</f>
        <v>10.080286791061837</v>
      </c>
      <c r="T425" s="1998">
        <f>IF(Construction!$F$31=Construction!$R$22,Oeko!CG425,Oeko!ET425)</f>
        <v>10.80652004981056</v>
      </c>
      <c r="U425" s="1998">
        <f>IF(Construction!$F$31=Construction!$R$22,Oeko!CH425,Oeko!EU425)</f>
        <v>8.6765597161082759</v>
      </c>
      <c r="V425" s="1998">
        <f>IF(Construction!$F$31=Construction!$R$22,Oeko!CI425,Oeko!EV425)</f>
        <v>8.6887445767442468</v>
      </c>
      <c r="W425" s="1998">
        <f>IF(Construction!$F$31=Construction!$R$22,Oeko!CJ425,Oeko!EW425)</f>
        <v>8.7110834879101926</v>
      </c>
      <c r="X425" s="1979">
        <f>IF(Construction!$F$31=Construction!$R$22,Oeko!CK425,Oeko!EX425)</f>
        <v>7.9638867239319895</v>
      </c>
      <c r="Y425" s="1979">
        <f>IF(Construction!$F$31=Construction!$R$22,Oeko!CL425,Oeko!EY425)</f>
        <v>8.5272570591302532</v>
      </c>
      <c r="Z425" s="1979">
        <f>IF(Construction!$F$31=Construction!$R$22,Oeko!CM425,Oeko!EZ425)</f>
        <v>6.8872780515805996</v>
      </c>
      <c r="AA425" s="1979">
        <f>IF(Construction!$F$31=Construction!$R$22,Oeko!CN425,Oeko!FA425)</f>
        <v>6.8998110510918824</v>
      </c>
      <c r="AB425" s="1979">
        <f>IF(Construction!$F$31=Construction!$R$22,Oeko!CO425,Oeko!FB425)</f>
        <v>6.9227882168625703</v>
      </c>
      <c r="AC425" s="1998">
        <f>IF(Construction!$F$31=Construction!$R$22,Oeko!CP425,Oeko!FC425)</f>
        <v>6.8938333109881027</v>
      </c>
      <c r="AD425" s="1998">
        <f>IF(Construction!$F$31=Construction!$R$22,Oeko!CQ425,Oeko!FD425)</f>
        <v>7.3522984204445434</v>
      </c>
      <c r="AE425" s="1998">
        <f>IF(Construction!$F$31=Construction!$R$22,Oeko!CR425,Oeko!FE425)</f>
        <v>6.0256425346191049</v>
      </c>
      <c r="AF425" s="1998">
        <f>IF(Construction!$F$31=Construction!$R$22,Oeko!CS425,Oeko!FF425)</f>
        <v>6.0378273952550749</v>
      </c>
      <c r="AG425" s="1998">
        <f>IF(Construction!$F$31=Construction!$R$22,Oeko!CT425,Oeko!FG425)</f>
        <v>6.0601663064210207</v>
      </c>
      <c r="AH425" s="1979">
        <f>IF(Construction!$F$31=Construction!$R$22,Oeko!CU425,Oeko!FH425)</f>
        <v>12.498268211044868</v>
      </c>
      <c r="AI425" s="1979">
        <f>IF(Construction!$F$31=Construction!$R$22,Oeko!CV425,Oeko!FI425)</f>
        <v>12.571377374860688</v>
      </c>
      <c r="AJ425" s="1979">
        <f>IF(Construction!$F$31=Construction!$R$22,Oeko!CW425,Oeko!FJ425)</f>
        <v>12.638394108358526</v>
      </c>
      <c r="AK425" s="1979">
        <f>IF(Construction!$F$31=Construction!$R$22,Oeko!CX425,Oeko!FK425)</f>
        <v>12.711503272174348</v>
      </c>
      <c r="AL425" s="1979">
        <f>IF(Construction!$F$31=Construction!$R$22,Oeko!CY425,Oeko!FL425)</f>
        <v>12.888183751395918</v>
      </c>
      <c r="AM425" s="1998">
        <f>IF(Construction!$F$31=Construction!$R$22,Oeko!CZ425,Oeko!FM425)</f>
        <v>7.4150652865990496</v>
      </c>
      <c r="AN425" s="1998">
        <f>IF(Construction!$F$31=Construction!$R$22,Oeko!DA425,Oeko!FN425)</f>
        <v>7.5367759639319054</v>
      </c>
      <c r="AO425" s="1998">
        <f>IF(Construction!$F$31=Construction!$R$22,Oeko!DB425,Oeko!FO425)</f>
        <v>8.29950555148144</v>
      </c>
      <c r="AP425" s="1998">
        <f>IF(Construction!$F$31=Construction!$R$22,Oeko!DC425,Oeko!FP425)</f>
        <v>9.0638597871157724</v>
      </c>
      <c r="AQ425" s="1998">
        <f>IF(Construction!$F$31=Construction!$R$22,Oeko!DD425,Oeko!FQ425)</f>
        <v>9.8282140227501049</v>
      </c>
      <c r="AR425" s="1979">
        <f>IF(Construction!$F$31=Construction!$R$22,Oeko!DE425,Oeko!FR425)</f>
        <v>91.394990178890737</v>
      </c>
      <c r="AS425" s="1979">
        <f>IF(Construction!$F$31=Construction!$R$22,Oeko!DF425,Oeko!FS425)</f>
        <v>91.787287116995628</v>
      </c>
      <c r="AT425" s="1979">
        <f>IF(Construction!$F$31=Construction!$R$22,Oeko!DG425,Oeko!FT425)</f>
        <v>92.146892643591784</v>
      </c>
      <c r="AU425" s="1979">
        <f>IF(Construction!$F$31=Construction!$R$22,Oeko!DH425,Oeko!FU425)</f>
        <v>92.539189581696661</v>
      </c>
      <c r="AV425" s="1979">
        <f>IF(Construction!$F$31=Construction!$R$22,Oeko!DI425,Oeko!FV425)</f>
        <v>93.487240515450168</v>
      </c>
      <c r="AW425" s="1998">
        <f>IF(Construction!$F$31=Construction!$R$22,Oeko!DJ425,Oeko!FW425)</f>
        <v>87.806889075461271</v>
      </c>
      <c r="AX425" s="1998">
        <f>IF(Construction!$F$31=Construction!$R$22,Oeko!DK425,Oeko!FX425)</f>
        <v>88.276712317755994</v>
      </c>
      <c r="AY425" s="1998">
        <f>IF(Construction!$F$31=Construction!$R$22,Oeko!DL425,Oeko!FY425)</f>
        <v>88.707383623192811</v>
      </c>
      <c r="AZ425" s="1998">
        <f>IF(Construction!$F$31=Construction!$R$22,Oeko!DM425,Oeko!FZ425)</f>
        <v>89.177206865487534</v>
      </c>
      <c r="BA425" s="1998">
        <f>IF(Construction!$F$31=Construction!$R$22,Oeko!DN425,Oeko!GA425)</f>
        <v>90.312613034366436</v>
      </c>
      <c r="BB425" s="1979">
        <f>IF(Construction!$F$31=Construction!$R$22,Oeko!DO425,Oeko!GB425)</f>
        <v>5.5732276464668935</v>
      </c>
      <c r="BC425" s="1979">
        <f>IF(Construction!$F$31=Construction!$R$22,Oeko!DP425,Oeko!GC425)</f>
        <v>5.6424691943366101</v>
      </c>
      <c r="BD425" s="1979">
        <f>IF(Construction!$F$31=Construction!$R$22,Oeko!DQ425,Oeko!GD425)</f>
        <v>5.7117107422063258</v>
      </c>
      <c r="BE425" s="1979">
        <f>IF(Construction!$F$31=Construction!$R$22,Oeko!DR425,Oeko!GE425)</f>
        <v>5.7809522900760424</v>
      </c>
      <c r="BF425" s="1979">
        <f>IF(Construction!$F$31=Construction!$R$22,Oeko!DS425,Oeko!GF425)</f>
        <v>5.8501938379457563</v>
      </c>
      <c r="BG425" s="1998">
        <f>IF(Construction!$F$31=Construction!$R$22,Oeko!DT425,Oeko!GG425)</f>
        <v>5.616083293025766</v>
      </c>
      <c r="BH425" s="1998">
        <f>IF(Construction!$F$31=Construction!$R$22,Oeko!DU425,Oeko!GH425)</f>
        <v>5.7023165086871979</v>
      </c>
      <c r="BI425" s="1998">
        <f>IF(Construction!$F$31=Construction!$R$22,Oeko!DV425,Oeko!GI425)</f>
        <v>5.7885497243486306</v>
      </c>
      <c r="BJ425" s="1998">
        <f>IF(Construction!$F$31=Construction!$R$22,Oeko!DW425,Oeko!GJ425)</f>
        <v>5.8747829400100633</v>
      </c>
      <c r="BK425" s="2026">
        <f>IF(Construction!$F$31=Construction!$R$22,Oeko!DX425,Oeko!GK425)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IF(Construction!$F$31=Construction!$R$22,Oeko!BQ426,Oeko!ED426)</f>
        <v>6.8190475817155836</v>
      </c>
      <c r="E426" s="1979">
        <f>IF(Construction!$F$31=Construction!$R$22,Oeko!BR426,Oeko!EE426)</f>
        <v>6.9593332941942494</v>
      </c>
      <c r="F426" s="1979">
        <f>IF(Construction!$F$31=Construction!$R$22,Oeko!BS426,Oeko!EF426)</f>
        <v>7.666319716922426</v>
      </c>
      <c r="G426" s="1979">
        <f>IF(Construction!$F$31=Construction!$R$22,Oeko!BT426,Oeko!EG426)</f>
        <v>8.3745984733544159</v>
      </c>
      <c r="H426" s="1979">
        <f>IF(Construction!$F$31=Construction!$R$22,Oeko!BU426,Oeko!EH426)</f>
        <v>9.0828772297864102</v>
      </c>
      <c r="I426" s="1998">
        <f>IF(Construction!$F$31=Construction!$R$22,Oeko!BV426,Oeko!EI426)</f>
        <v>11.454928895214596</v>
      </c>
      <c r="J426" s="1998">
        <f>IF(Construction!$F$31=Construction!$R$22,Oeko!BW426,Oeko!EJ426)</f>
        <v>11.903846427032619</v>
      </c>
      <c r="K426" s="1998">
        <f>IF(Construction!$F$31=Construction!$R$22,Oeko!BX426,Oeko!EK426)</f>
        <v>13.149975976409506</v>
      </c>
      <c r="L426" s="1998">
        <f>IF(Construction!$F$31=Construction!$R$22,Oeko!BY426,Oeko!EL426)</f>
        <v>14.402197956104375</v>
      </c>
      <c r="M426" s="1998">
        <f>IF(Construction!$F$31=Construction!$R$22,Oeko!BZ426,Oeko!EM426)</f>
        <v>15.654419935799243</v>
      </c>
      <c r="N426" s="1979">
        <f>IF(Construction!$F$31=Construction!$R$22,Oeko!CA426,Oeko!EN426)</f>
        <v>8.0020814514210539</v>
      </c>
      <c r="O426" s="1979">
        <f>IF(Construction!$F$31=Construction!$R$22,Oeko!CB426,Oeko!EO426)</f>
        <v>8.5612741201155558</v>
      </c>
      <c r="P426" s="1979">
        <f>IF(Construction!$F$31=Construction!$R$22,Oeko!CC426,Oeko!EP426)</f>
        <v>6.9171174460621403</v>
      </c>
      <c r="Q426" s="1979">
        <f>IF(Construction!$F$31=Construction!$R$22,Oeko!CD426,Oeko!EQ426)</f>
        <v>6.9254727790696631</v>
      </c>
      <c r="R426" s="1979">
        <f>IF(Construction!$F$31=Construction!$R$22,Oeko!CE426,Oeko!ER426)</f>
        <v>6.9407908895834538</v>
      </c>
      <c r="S426" s="1998">
        <f>IF(Construction!$F$31=Construction!$R$22,Oeko!CF426,Oeko!ES426)</f>
        <v>10.503338808462797</v>
      </c>
      <c r="T426" s="1998">
        <f>IF(Construction!$F$31=Construction!$R$22,Oeko!CG426,Oeko!ET426)</f>
        <v>11.219938168570504</v>
      </c>
      <c r="U426" s="1998">
        <f>IF(Construction!$F$31=Construction!$R$22,Oeko!CH426,Oeko!EU426)</f>
        <v>9.1249719611092512</v>
      </c>
      <c r="V426" s="1998">
        <f>IF(Construction!$F$31=Construction!$R$22,Oeko!CI426,Oeko!EV426)</f>
        <v>9.1386799293247183</v>
      </c>
      <c r="W426" s="1998">
        <f>IF(Construction!$F$31=Construction!$R$22,Oeko!CJ426,Oeko!EW426)</f>
        <v>9.1638112043864073</v>
      </c>
      <c r="X426" s="1979">
        <f>IF(Construction!$F$31=Construction!$R$22,Oeko!CK426,Oeko!EX426)</f>
        <v>7.8253267412723861</v>
      </c>
      <c r="Y426" s="1979">
        <f>IF(Construction!$F$31=Construction!$R$22,Oeko!CL426,Oeko!EY426)</f>
        <v>8.375484872620115</v>
      </c>
      <c r="Z426" s="1979">
        <f>IF(Construction!$F$31=Construction!$R$22,Oeko!CM426,Oeko!EZ426)</f>
        <v>6.7834978096295906</v>
      </c>
      <c r="AA426" s="1979">
        <f>IF(Construction!$F$31=Construction!$R$22,Oeko!CN426,Oeko!FA426)</f>
        <v>6.7981196423927548</v>
      </c>
      <c r="AB426" s="1979">
        <f>IF(Construction!$F$31=Construction!$R$22,Oeko!CO426,Oeko!FB426)</f>
        <v>6.8249263357918899</v>
      </c>
      <c r="AC426" s="1998">
        <f>IF(Construction!$F$31=Construction!$R$22,Oeko!CP426,Oeko!FC426)</f>
        <v>7.0782587668681645</v>
      </c>
      <c r="AD426" s="1998">
        <f>IF(Construction!$F$31=Construction!$R$22,Oeko!CQ426,Oeko!FD426)</f>
        <v>7.5367238763246052</v>
      </c>
      <c r="AE426" s="1998">
        <f>IF(Construction!$F$31=Construction!$R$22,Oeko!CR426,Oeko!FE426)</f>
        <v>6.2100679904991667</v>
      </c>
      <c r="AF426" s="1998">
        <f>IF(Construction!$F$31=Construction!$R$22,Oeko!CS426,Oeko!FF426)</f>
        <v>6.2222528511351376</v>
      </c>
      <c r="AG426" s="1998">
        <f>IF(Construction!$F$31=Construction!$R$22,Oeko!CT426,Oeko!FG426)</f>
        <v>6.2445917623010834</v>
      </c>
      <c r="AH426" s="1979">
        <f>IF(Construction!$F$31=Construction!$R$22,Oeko!CU426,Oeko!FH426)</f>
        <v>12.993221039294216</v>
      </c>
      <c r="AI426" s="1979">
        <f>IF(Construction!$F$31=Construction!$R$22,Oeko!CV426,Oeko!FI426)</f>
        <v>13.066330203110038</v>
      </c>
      <c r="AJ426" s="1979">
        <f>IF(Construction!$F$31=Construction!$R$22,Oeko!CW426,Oeko!FJ426)</f>
        <v>13.133346936607877</v>
      </c>
      <c r="AK426" s="1979">
        <f>IF(Construction!$F$31=Construction!$R$22,Oeko!CX426,Oeko!FK426)</f>
        <v>13.206456100423695</v>
      </c>
      <c r="AL426" s="1979">
        <f>IF(Construction!$F$31=Construction!$R$22,Oeko!CY426,Oeko!FL426)</f>
        <v>13.383136579645265</v>
      </c>
      <c r="AM426" s="1998">
        <f>IF(Construction!$F$31=Construction!$R$22,Oeko!CZ426,Oeko!FM426)</f>
        <v>7.1714258718780819</v>
      </c>
      <c r="AN426" s="1998">
        <f>IF(Construction!$F$31=Construction!$R$22,Oeko!DA426,Oeko!FN426)</f>
        <v>7.2853182026264056</v>
      </c>
      <c r="AO426" s="1998">
        <f>IF(Construction!$F$31=Construction!$R$22,Oeko!DB426,Oeko!FO426)</f>
        <v>8.0089310916359491</v>
      </c>
      <c r="AP426" s="1998">
        <f>IF(Construction!$F$31=Construction!$R$22,Oeko!DC426,Oeko!FP426)</f>
        <v>8.7348649064809134</v>
      </c>
      <c r="AQ426" s="1998">
        <f>IF(Construction!$F$31=Construction!$R$22,Oeko!DD426,Oeko!FQ426)</f>
        <v>9.4607987213258831</v>
      </c>
      <c r="AR426" s="1979">
        <f>IF(Construction!$F$31=Construction!$R$22,Oeko!DE426,Oeko!FR426)</f>
        <v>92.14568136824623</v>
      </c>
      <c r="AS426" s="1979">
        <f>IF(Construction!$F$31=Construction!$R$22,Oeko!DF426,Oeko!FS426)</f>
        <v>92.616437693972102</v>
      </c>
      <c r="AT426" s="1979">
        <f>IF(Construction!$F$31=Construction!$R$22,Oeko!DG426,Oeko!FT426)</f>
        <v>93.047964325887477</v>
      </c>
      <c r="AU426" s="1979">
        <f>IF(Construction!$F$31=Construction!$R$22,Oeko!DH426,Oeko!FU426)</f>
        <v>93.518720651613364</v>
      </c>
      <c r="AV426" s="1979">
        <f>IF(Construction!$F$31=Construction!$R$22,Oeko!DI426,Oeko!FV426)</f>
        <v>94.656381772117541</v>
      </c>
      <c r="AW426" s="1998">
        <f>IF(Construction!$F$31=Construction!$R$22,Oeko!DJ426,Oeko!FW426)</f>
        <v>91.119368402034667</v>
      </c>
      <c r="AX426" s="1998">
        <f>IF(Construction!$F$31=Construction!$R$22,Oeko!DK426,Oeko!FX426)</f>
        <v>91.589191644329375</v>
      </c>
      <c r="AY426" s="1998">
        <f>IF(Construction!$F$31=Construction!$R$22,Oeko!DL426,Oeko!FY426)</f>
        <v>92.019862949766207</v>
      </c>
      <c r="AZ426" s="1998">
        <f>IF(Construction!$F$31=Construction!$R$22,Oeko!DM426,Oeko!FZ426)</f>
        <v>92.48968619206093</v>
      </c>
      <c r="BA426" s="1998">
        <f>IF(Construction!$F$31=Construction!$R$22,Oeko!DN426,Oeko!GA426)</f>
        <v>93.625092360939803</v>
      </c>
      <c r="BB426" s="1979">
        <f>IF(Construction!$F$31=Construction!$R$22,Oeko!DO426,Oeko!GB426)</f>
        <v>5.5156070878319747</v>
      </c>
      <c r="BC426" s="1979">
        <f>IF(Construction!$F$31=Construction!$R$22,Oeko!DP426,Oeko!GC426)</f>
        <v>5.6021590226691185</v>
      </c>
      <c r="BD426" s="1979">
        <f>IF(Construction!$F$31=Construction!$R$22,Oeko!DQ426,Oeko!GD426)</f>
        <v>5.6887109575062631</v>
      </c>
      <c r="BE426" s="1979">
        <f>IF(Construction!$F$31=Construction!$R$22,Oeko!DR426,Oeko!GE426)</f>
        <v>5.7752628923434086</v>
      </c>
      <c r="BF426" s="1979">
        <f>IF(Construction!$F$31=Construction!$R$22,Oeko!DS426,Oeko!GF426)</f>
        <v>5.8618148271805524</v>
      </c>
      <c r="BG426" s="1998">
        <f>IF(Construction!$F$31=Construction!$R$22,Oeko!DT426,Oeko!GG426)</f>
        <v>5.5204026655765439</v>
      </c>
      <c r="BH426" s="1998">
        <f>IF(Construction!$F$31=Construction!$R$22,Oeko!DU426,Oeko!GH426)</f>
        <v>5.6353802864584539</v>
      </c>
      <c r="BI426" s="1998">
        <f>IF(Construction!$F$31=Construction!$R$22,Oeko!DV426,Oeko!GI426)</f>
        <v>5.750357907340363</v>
      </c>
      <c r="BJ426" s="1998">
        <f>IF(Construction!$F$31=Construction!$R$22,Oeko!DW426,Oeko!GJ426)</f>
        <v>5.8653355282222739</v>
      </c>
      <c r="BK426" s="2026">
        <f>IF(Construction!$F$31=Construction!$R$22,Oeko!DX426,Oeko!GK426)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IF(Construction!$F$31=Construction!$R$22,Oeko!BQ427,Oeko!ED427)</f>
        <v>6.9609763373794475</v>
      </c>
      <c r="E427" s="1979">
        <f>IF(Construction!$F$31=Construction!$R$22,Oeko!BR427,Oeko!EE427)</f>
        <v>7.1317443432169405</v>
      </c>
      <c r="F427" s="1979">
        <f>IF(Construction!$F$31=Construction!$R$22,Oeko!BS427,Oeko!EF427)</f>
        <v>7.8692130593039451</v>
      </c>
      <c r="G427" s="1979">
        <f>IF(Construction!$F$31=Construction!$R$22,Oeko!BT427,Oeko!EG427)</f>
        <v>8.6079741090947621</v>
      </c>
      <c r="H427" s="1979">
        <f>IF(Construction!$F$31=Construction!$R$22,Oeko!BU427,Oeko!EH427)</f>
        <v>9.3467351588855827</v>
      </c>
      <c r="I427" s="1998">
        <f>IF(Construction!$F$31=Construction!$R$22,Oeko!BV427,Oeko!EI427)</f>
        <v>11.651445711385461</v>
      </c>
      <c r="J427" s="1998">
        <f>IF(Construction!$F$31=Construction!$R$22,Oeko!BW427,Oeko!EJ427)</f>
        <v>12.137850784104407</v>
      </c>
      <c r="K427" s="1998">
        <f>IF(Construction!$F$31=Construction!$R$22,Oeko!BX427,Oeko!EK427)</f>
        <v>13.421467874382209</v>
      </c>
      <c r="L427" s="1998">
        <f>IF(Construction!$F$31=Construction!$R$22,Oeko!BY427,Oeko!EL427)</f>
        <v>14.711177394978</v>
      </c>
      <c r="M427" s="1998">
        <f>IF(Construction!$F$31=Construction!$R$22,Oeko!BZ427,Oeko!EM427)</f>
        <v>16.000886915573787</v>
      </c>
      <c r="N427" s="1979">
        <f>IF(Construction!$F$31=Construction!$R$22,Oeko!CA427,Oeko!EN427)</f>
        <v>8.1301187274652147</v>
      </c>
      <c r="O427" s="1979">
        <f>IF(Construction!$F$31=Construction!$R$22,Oeko!CB427,Oeko!EO427)</f>
        <v>8.6834393055594816</v>
      </c>
      <c r="P427" s="1979">
        <f>IF(Construction!$F$31=Construction!$R$22,Oeko!CC427,Oeko!EP427)</f>
        <v>7.0606123846434556</v>
      </c>
      <c r="Q427" s="1979">
        <f>IF(Construction!$F$31=Construction!$R$22,Oeko!CD427,Oeko!EQ427)</f>
        <v>7.0698960879851471</v>
      </c>
      <c r="R427" s="1979">
        <f>IF(Construction!$F$31=Construction!$R$22,Oeko!CE427,Oeko!ER427)</f>
        <v>7.0869162107782486</v>
      </c>
      <c r="S427" s="1998">
        <f>IF(Construction!$F$31=Construction!$R$22,Oeko!CF427,Oeko!ES427)</f>
        <v>10.185433581615555</v>
      </c>
      <c r="T427" s="1998">
        <f>IF(Construction!$F$31=Construction!$R$22,Oeko!CG427,Oeko!ET427)</f>
        <v>10.873131245800217</v>
      </c>
      <c r="U427" s="1998">
        <f>IF(Construction!$F$31=Construction!$R$22,Oeko!CH427,Oeko!EU427)</f>
        <v>8.8831474170620588</v>
      </c>
      <c r="V427" s="1998">
        <f>IF(Construction!$F$31=Construction!$R$22,Oeko!CI427,Oeko!EV427)</f>
        <v>8.9014247080160143</v>
      </c>
      <c r="W427" s="1998">
        <f>IF(Construction!$F$31=Construction!$R$22,Oeko!CJ427,Oeko!EW427)</f>
        <v>8.9349330747649329</v>
      </c>
      <c r="X427" s="1979">
        <f>IF(Construction!$F$31=Construction!$R$22,Oeko!CK427,Oeko!EX427)</f>
        <v>8.0783956150164986</v>
      </c>
      <c r="Y427" s="1979">
        <f>IF(Construction!$F$31=Construction!$R$22,Oeko!CL427,Oeko!EY427)</f>
        <v>8.6285537463642257</v>
      </c>
      <c r="Z427" s="1979">
        <f>IF(Construction!$F$31=Construction!$R$22,Oeko!CM427,Oeko!EZ427)</f>
        <v>7.0365666833737013</v>
      </c>
      <c r="AA427" s="1979">
        <f>IF(Construction!$F$31=Construction!$R$22,Oeko!CN427,Oeko!FA427)</f>
        <v>7.0511885161368664</v>
      </c>
      <c r="AB427" s="1979">
        <f>IF(Construction!$F$31=Construction!$R$22,Oeko!CO427,Oeko!FB427)</f>
        <v>7.0779952095360006</v>
      </c>
      <c r="AC427" s="1998">
        <f>IF(Construction!$F$31=Construction!$R$22,Oeko!CP427,Oeko!FC427)</f>
        <v>7.0536769385522007</v>
      </c>
      <c r="AD427" s="1998">
        <f>IF(Construction!$F$31=Construction!$R$22,Oeko!CQ427,Oeko!FD427)</f>
        <v>7.4967278101830166</v>
      </c>
      <c r="AE427" s="1998">
        <f>IF(Construction!$F$31=Construction!$R$22,Oeko!CR427,Oeko!FE427)</f>
        <v>6.2260625263432283</v>
      </c>
      <c r="AF427" s="1998">
        <f>IF(Construction!$F$31=Construction!$R$22,Oeko!CS427,Oeko!FF427)</f>
        <v>6.2406843591063934</v>
      </c>
      <c r="AG427" s="1998">
        <f>IF(Construction!$F$31=Construction!$R$22,Oeko!CT427,Oeko!FG427)</f>
        <v>6.2674910525055276</v>
      </c>
      <c r="AH427" s="1979">
        <f>IF(Construction!$F$31=Construction!$R$22,Oeko!CU427,Oeko!FH427)</f>
        <v>12.207472584015994</v>
      </c>
      <c r="AI427" s="1979">
        <f>IF(Construction!$F$31=Construction!$R$22,Oeko!CV427,Oeko!FI427)</f>
        <v>12.304951469103756</v>
      </c>
      <c r="AJ427" s="1979">
        <f>IF(Construction!$F$31=Construction!$R$22,Oeko!CW427,Oeko!FJ427)</f>
        <v>12.394307113767537</v>
      </c>
      <c r="AK427" s="1979">
        <f>IF(Construction!$F$31=Construction!$R$22,Oeko!CX427,Oeko!FK427)</f>
        <v>12.491785998855303</v>
      </c>
      <c r="AL427" s="1979">
        <f>IF(Construction!$F$31=Construction!$R$22,Oeko!CY427,Oeko!FL427)</f>
        <v>12.727359971150729</v>
      </c>
      <c r="AM427" s="1998">
        <f>IF(Construction!$F$31=Construction!$R$22,Oeko!CZ427,Oeko!FM427)</f>
        <v>7.2712439372347131</v>
      </c>
      <c r="AN427" s="1998">
        <f>IF(Construction!$F$31=Construction!$R$22,Oeko!DA427,Oeko!FN427)</f>
        <v>7.4041775585993745</v>
      </c>
      <c r="AO427" s="1998">
        <f>IF(Construction!$F$31=Construction!$R$22,Oeko!DB427,Oeko!FO427)</f>
        <v>8.1468317382252575</v>
      </c>
      <c r="AP427" s="1998">
        <f>IF(Construction!$F$31=Construction!$R$22,Oeko!DC427,Oeko!FP427)</f>
        <v>8.8918068436865649</v>
      </c>
      <c r="AQ427" s="1998">
        <f>IF(Construction!$F$31=Construction!$R$22,Oeko!DD427,Oeko!FQ427)</f>
        <v>9.6367819491478723</v>
      </c>
      <c r="AR427" s="1979">
        <f>IF(Construction!$F$31=Construction!$R$22,Oeko!DE427,Oeko!FR427)</f>
        <v>89.204916290593289</v>
      </c>
      <c r="AS427" s="1979">
        <f>IF(Construction!$F$31=Construction!$R$22,Oeko!DF427,Oeko!FS427)</f>
        <v>89.793361697750626</v>
      </c>
      <c r="AT427" s="1979">
        <f>IF(Construction!$F$31=Construction!$R$22,Oeko!DG427,Oeko!FT427)</f>
        <v>90.332769987644852</v>
      </c>
      <c r="AU427" s="1979">
        <f>IF(Construction!$F$31=Construction!$R$22,Oeko!DH427,Oeko!FU427)</f>
        <v>90.921215394802189</v>
      </c>
      <c r="AV427" s="1979">
        <f>IF(Construction!$F$31=Construction!$R$22,Oeko!DI427,Oeko!FV427)</f>
        <v>92.343291795432421</v>
      </c>
      <c r="AW427" s="1998">
        <f>IF(Construction!$F$31=Construction!$R$22,Oeko!DJ427,Oeko!FW427)</f>
        <v>89.887446821368769</v>
      </c>
      <c r="AX427" s="1998">
        <f>IF(Construction!$F$31=Construction!$R$22,Oeko!DK427,Oeko!FX427)</f>
        <v>90.474725874237166</v>
      </c>
      <c r="AY427" s="1998">
        <f>IF(Construction!$F$31=Construction!$R$22,Oeko!DL427,Oeko!FY427)</f>
        <v>91.013065006033187</v>
      </c>
      <c r="AZ427" s="1998">
        <f>IF(Construction!$F$31=Construction!$R$22,Oeko!DM427,Oeko!FZ427)</f>
        <v>91.600344058901598</v>
      </c>
      <c r="BA427" s="1998">
        <f>IF(Construction!$F$31=Construction!$R$22,Oeko!DN427,Oeko!GA427)</f>
        <v>93.019601770000193</v>
      </c>
      <c r="BB427" s="1979">
        <f>IF(Construction!$F$31=Construction!$R$22,Oeko!DO427,Oeko!GB427)</f>
        <v>5.6287581938616791</v>
      </c>
      <c r="BC427" s="1979">
        <f>IF(Construction!$F$31=Construction!$R$22,Oeko!DP427,Oeko!GC427)</f>
        <v>5.7153101286988246</v>
      </c>
      <c r="BD427" s="1979">
        <f>IF(Construction!$F$31=Construction!$R$22,Oeko!DQ427,Oeko!GD427)</f>
        <v>5.8018620635359692</v>
      </c>
      <c r="BE427" s="1979">
        <f>IF(Construction!$F$31=Construction!$R$22,Oeko!DR427,Oeko!GE427)</f>
        <v>5.888413998373113</v>
      </c>
      <c r="BF427" s="1979">
        <f>IF(Construction!$F$31=Construction!$R$22,Oeko!DS427,Oeko!GF427)</f>
        <v>5.9749659332102585</v>
      </c>
      <c r="BG427" s="1998">
        <f>IF(Construction!$F$31=Construction!$R$22,Oeko!DT427,Oeko!GG427)</f>
        <v>6.2039319724685198</v>
      </c>
      <c r="BH427" s="1998">
        <f>IF(Construction!$F$31=Construction!$R$22,Oeko!DU427,Oeko!GH427)</f>
        <v>6.2901651881299525</v>
      </c>
      <c r="BI427" s="1998">
        <f>IF(Construction!$F$31=Construction!$R$22,Oeko!DV427,Oeko!GI427)</f>
        <v>6.3763984037913852</v>
      </c>
      <c r="BJ427" s="1998">
        <f>IF(Construction!$F$31=Construction!$R$22,Oeko!DW427,Oeko!GJ427)</f>
        <v>6.4626316194528162</v>
      </c>
      <c r="BK427" s="2026">
        <f>IF(Construction!$F$31=Construction!$R$22,Oeko!DX427,Oeko!GK427)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IF(Construction!$F$31=Construction!$R$22,Oeko!BQ428,Oeko!ED428)</f>
        <v>7.116800221459429</v>
      </c>
      <c r="E428" s="1979">
        <f>IF(Construction!$F$31=Construction!$R$22,Oeko!BR428,Oeko!EE428)</f>
        <v>7.3207011548608687</v>
      </c>
      <c r="F428" s="1979">
        <f>IF(Construction!$F$31=Construction!$R$22,Oeko!BS428,Oeko!EF428)</f>
        <v>8.0913027985118173</v>
      </c>
      <c r="G428" s="1979">
        <f>IF(Construction!$F$31=Construction!$R$22,Oeko!BT428,Oeko!EG428)</f>
        <v>8.8631967758665784</v>
      </c>
      <c r="H428" s="1979">
        <f>IF(Construction!$F$31=Construction!$R$22,Oeko!BU428,Oeko!EH428)</f>
        <v>9.6350907532213448</v>
      </c>
      <c r="I428" s="1998">
        <f>IF(Construction!$F$31=Construction!$R$22,Oeko!BV428,Oeko!EI428)</f>
        <v>11.782456922166039</v>
      </c>
      <c r="J428" s="1998">
        <f>IF(Construction!$F$31=Construction!$R$22,Oeko!BW428,Oeko!EJ428)</f>
        <v>12.293853688818928</v>
      </c>
      <c r="K428" s="1998">
        <f>IF(Construction!$F$31=Construction!$R$22,Oeko!BX428,Oeko!EK428)</f>
        <v>13.602462473030679</v>
      </c>
      <c r="L428" s="1998">
        <f>IF(Construction!$F$31=Construction!$R$22,Oeko!BY428,Oeko!EL428)</f>
        <v>14.917163687560413</v>
      </c>
      <c r="M428" s="1998">
        <f>IF(Construction!$F$31=Construction!$R$22,Oeko!BZ428,Oeko!EM428)</f>
        <v>16.231864902090152</v>
      </c>
      <c r="N428" s="1979">
        <f>IF(Construction!$F$31=Construction!$R$22,Oeko!CA428,Oeko!EN428)</f>
        <v>8.3916886228079672</v>
      </c>
      <c r="O428" s="1979">
        <f>IF(Construction!$F$31=Construction!$R$22,Oeko!CB428,Oeko!EO428)</f>
        <v>8.9450092009022324</v>
      </c>
      <c r="P428" s="1979">
        <f>IF(Construction!$F$31=Construction!$R$22,Oeko!CC428,Oeko!EP428)</f>
        <v>7.3221822799862064</v>
      </c>
      <c r="Q428" s="1979">
        <f>IF(Construction!$F$31=Construction!$R$22,Oeko!CD428,Oeko!EQ428)</f>
        <v>7.3314659833278979</v>
      </c>
      <c r="R428" s="1979">
        <f>IF(Construction!$F$31=Construction!$R$22,Oeko!CE428,Oeko!ER428)</f>
        <v>7.3484861061209985</v>
      </c>
      <c r="S428" s="1998">
        <f>IF(Construction!$F$31=Construction!$R$22,Oeko!CF428,Oeko!ES428)</f>
        <v>10.406133180811</v>
      </c>
      <c r="T428" s="1998">
        <f>IF(Construction!$F$31=Construction!$R$22,Oeko!CG428,Oeko!ET428)</f>
        <v>11.093830844995663</v>
      </c>
      <c r="U428" s="1998">
        <f>IF(Construction!$F$31=Construction!$R$22,Oeko!CH428,Oeko!EU428)</f>
        <v>9.1038470162575056</v>
      </c>
      <c r="V428" s="1998">
        <f>IF(Construction!$F$31=Construction!$R$22,Oeko!CI428,Oeko!EV428)</f>
        <v>9.1221243072114593</v>
      </c>
      <c r="W428" s="1998">
        <f>IF(Construction!$F$31=Construction!$R$22,Oeko!CJ428,Oeko!EW428)</f>
        <v>9.1556326739603797</v>
      </c>
      <c r="X428" s="1979">
        <f>IF(Construction!$F$31=Construction!$R$22,Oeko!CK428,Oeko!EX428)</f>
        <v>8.3043499665737404</v>
      </c>
      <c r="Y428" s="1979">
        <f>IF(Construction!$F$31=Construction!$R$22,Oeko!CL428,Oeko!EY428)</f>
        <v>8.8545080979214692</v>
      </c>
      <c r="Z428" s="1979">
        <f>IF(Construction!$F$31=Construction!$R$22,Oeko!CM428,Oeko!EZ428)</f>
        <v>7.262521034930943</v>
      </c>
      <c r="AA428" s="1979">
        <f>IF(Construction!$F$31=Construction!$R$22,Oeko!CN428,Oeko!FA428)</f>
        <v>7.2771428676941081</v>
      </c>
      <c r="AB428" s="1979">
        <f>IF(Construction!$F$31=Construction!$R$22,Oeko!CO428,Oeko!FB428)</f>
        <v>7.3039495610932423</v>
      </c>
      <c r="AC428" s="1998">
        <f>IF(Construction!$F$31=Construction!$R$22,Oeko!CP428,Oeko!FC428)</f>
        <v>6.945309104550689</v>
      </c>
      <c r="AD428" s="1998">
        <f>IF(Construction!$F$31=Construction!$R$22,Oeko!CQ428,Oeko!FD428)</f>
        <v>7.3652386194430681</v>
      </c>
      <c r="AE428" s="1998">
        <f>IF(Construction!$F$31=Construction!$R$22,Oeko!CR428,Oeko!FE428)</f>
        <v>6.1785592385817552</v>
      </c>
      <c r="AF428" s="1998">
        <f>IF(Construction!$F$31=Construction!$R$22,Oeko!CS428,Oeko!FF428)</f>
        <v>6.1968365295357115</v>
      </c>
      <c r="AG428" s="1998">
        <f>IF(Construction!$F$31=Construction!$R$22,Oeko!CT428,Oeko!FG428)</f>
        <v>6.2303448962846293</v>
      </c>
      <c r="AH428" s="1979">
        <f>IF(Construction!$F$31=Construction!$R$22,Oeko!CU428,Oeko!FH428)</f>
        <v>12.471447425748977</v>
      </c>
      <c r="AI428" s="1979">
        <f>IF(Construction!$F$31=Construction!$R$22,Oeko!CV428,Oeko!FI428)</f>
        <v>12.568926310836742</v>
      </c>
      <c r="AJ428" s="1979">
        <f>IF(Construction!$F$31=Construction!$R$22,Oeko!CW428,Oeko!FJ428)</f>
        <v>12.658281955500524</v>
      </c>
      <c r="AK428" s="1979">
        <f>IF(Construction!$F$31=Construction!$R$22,Oeko!CX428,Oeko!FK428)</f>
        <v>12.755760840588287</v>
      </c>
      <c r="AL428" s="1979">
        <f>IF(Construction!$F$31=Construction!$R$22,Oeko!CY428,Oeko!FL428)</f>
        <v>12.991334812883716</v>
      </c>
      <c r="AM428" s="1998">
        <f>IF(Construction!$F$31=Construction!$R$22,Oeko!CZ428,Oeko!FM428)</f>
        <v>6.9304204938163609</v>
      </c>
      <c r="AN428" s="1998">
        <f>IF(Construction!$F$31=Construction!$R$22,Oeko!DA428,Oeko!FN428)</f>
        <v>7.0498830465696987</v>
      </c>
      <c r="AO428" s="1998">
        <f>IF(Construction!$F$31=Construction!$R$22,Oeko!DB428,Oeko!FO428)</f>
        <v>7.7373350216436467</v>
      </c>
      <c r="AP428" s="1998">
        <f>IF(Construction!$F$31=Construction!$R$22,Oeko!DC428,Oeko!FP428)</f>
        <v>8.4280362928871835</v>
      </c>
      <c r="AQ428" s="1998">
        <f>IF(Construction!$F$31=Construction!$R$22,Oeko!DD428,Oeko!FQ428)</f>
        <v>9.1187375641307238</v>
      </c>
      <c r="AR428" s="1979">
        <f>IF(Construction!$F$31=Construction!$R$22,Oeko!DE428,Oeko!FR428)</f>
        <v>92.133013631007358</v>
      </c>
      <c r="AS428" s="1979">
        <f>IF(Construction!$F$31=Construction!$R$22,Oeko!DF428,Oeko!FS428)</f>
        <v>92.721459038164696</v>
      </c>
      <c r="AT428" s="1979">
        <f>IF(Construction!$F$31=Construction!$R$22,Oeko!DG428,Oeko!FT428)</f>
        <v>93.260867328058922</v>
      </c>
      <c r="AU428" s="1979">
        <f>IF(Construction!$F$31=Construction!$R$22,Oeko!DH428,Oeko!FU428)</f>
        <v>93.849312735216259</v>
      </c>
      <c r="AV428" s="1979">
        <f>IF(Construction!$F$31=Construction!$R$22,Oeko!DI428,Oeko!FV428)</f>
        <v>95.271389135846491</v>
      </c>
      <c r="AW428" s="1998">
        <f>IF(Construction!$F$31=Construction!$R$22,Oeko!DJ428,Oeko!FW428)</f>
        <v>84.971589255962641</v>
      </c>
      <c r="AX428" s="1998">
        <f>IF(Construction!$F$31=Construction!$R$22,Oeko!DK428,Oeko!FX428)</f>
        <v>85.754627993120479</v>
      </c>
      <c r="AY428" s="1998">
        <f>IF(Construction!$F$31=Construction!$R$22,Oeko!DL428,Oeko!FY428)</f>
        <v>86.472413502181865</v>
      </c>
      <c r="AZ428" s="1998">
        <f>IF(Construction!$F$31=Construction!$R$22,Oeko!DM428,Oeko!FZ428)</f>
        <v>87.255452239339718</v>
      </c>
      <c r="BA428" s="1998">
        <f>IF(Construction!$F$31=Construction!$R$22,Oeko!DN428,Oeko!GA428)</f>
        <v>89.147795854137883</v>
      </c>
      <c r="BB428" s="1979">
        <f>IF(Construction!$F$31=Construction!$R$22,Oeko!DO428,Oeko!GB428)</f>
        <v>5.5327239294701451</v>
      </c>
      <c r="BC428" s="1979">
        <f>IF(Construction!$F$31=Construction!$R$22,Oeko!DP428,Oeko!GC428)</f>
        <v>5.6481265092530046</v>
      </c>
      <c r="BD428" s="1979">
        <f>IF(Construction!$F$31=Construction!$R$22,Oeko!DQ428,Oeko!GD428)</f>
        <v>5.7635290890358641</v>
      </c>
      <c r="BE428" s="1979">
        <f>IF(Construction!$F$31=Construction!$R$22,Oeko!DR428,Oeko!GE428)</f>
        <v>5.8789316688187236</v>
      </c>
      <c r="BF428" s="1979">
        <f>IF(Construction!$F$31=Construction!$R$22,Oeko!DS428,Oeko!GF428)</f>
        <v>5.9943342486015823</v>
      </c>
      <c r="BG428" s="1998">
        <f>IF(Construction!$F$31=Construction!$R$22,Oeko!DT428,Oeko!GG428)</f>
        <v>6.9092187281432365</v>
      </c>
      <c r="BH428" s="1998">
        <f>IF(Construction!$F$31=Construction!$R$22,Oeko!DU428,Oeko!GH428)</f>
        <v>6.9954519438046674</v>
      </c>
      <c r="BI428" s="1998">
        <f>IF(Construction!$F$31=Construction!$R$22,Oeko!DV428,Oeko!GI428)</f>
        <v>7.081685159466101</v>
      </c>
      <c r="BJ428" s="1998">
        <f>IF(Construction!$F$31=Construction!$R$22,Oeko!DW428,Oeko!GJ428)</f>
        <v>7.1679183751275328</v>
      </c>
      <c r="BK428" s="2026">
        <f>IF(Construction!$F$31=Construction!$R$22,Oeko!DX428,Oeko!GK428)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IF(Construction!$F$31=Construction!$R$22,Oeko!BQ429,Oeko!ED429)</f>
        <v>6.84846963386296</v>
      </c>
      <c r="E429" s="1979">
        <f>IF(Construction!$F$31=Construction!$R$22,Oeko!BR429,Oeko!EE429)</f>
        <v>7.0455930296101332</v>
      </c>
      <c r="F429" s="1979">
        <f>IF(Construction!$F$31=Construction!$R$22,Oeko!BS429,Oeko!EF429)</f>
        <v>7.7762219138358741</v>
      </c>
      <c r="G429" s="1979">
        <f>IF(Construction!$F$31=Construction!$R$22,Oeko!BT429,Oeko!EG429)</f>
        <v>8.5088816081676093</v>
      </c>
      <c r="H429" s="1979">
        <f>IF(Construction!$F$31=Construction!$R$22,Oeko!BU429,Oeko!EH429)</f>
        <v>9.2415413024993462</v>
      </c>
      <c r="I429" s="1998">
        <f>IF(Construction!$F$31=Construction!$R$22,Oeko!BV429,Oeko!EI429)</f>
        <v>10.883397554329337</v>
      </c>
      <c r="J429" s="1998">
        <f>IF(Construction!$F$31=Construction!$R$22,Oeko!BW429,Oeko!EJ429)</f>
        <v>11.336043161462248</v>
      </c>
      <c r="K429" s="1998">
        <f>IF(Construction!$F$31=Construction!$R$22,Oeko!BX429,Oeko!EK429)</f>
        <v>12.494613926283931</v>
      </c>
      <c r="L429" s="1998">
        <f>IF(Construction!$F$31=Construction!$R$22,Oeko!BY429,Oeko!EL429)</f>
        <v>13.661307931529594</v>
      </c>
      <c r="M429" s="1998">
        <f>IF(Construction!$F$31=Construction!$R$22,Oeko!BZ429,Oeko!EM429)</f>
        <v>14.828001936775257</v>
      </c>
      <c r="N429" s="1979">
        <f>IF(Construction!$F$31=Construction!$R$22,Oeko!CA429,Oeko!EN429)</f>
        <v>8.3637318555855682</v>
      </c>
      <c r="O429" s="1979">
        <f>IF(Construction!$F$31=Construction!$R$22,Oeko!CB429,Oeko!EO429)</f>
        <v>8.9097123204295343</v>
      </c>
      <c r="P429" s="1979">
        <f>IF(Construction!$F$31=Construction!$R$22,Oeko!CC429,Oeko!EP429)</f>
        <v>7.3135475909352481</v>
      </c>
      <c r="Q429" s="1979">
        <f>IF(Construction!$F$31=Construction!$R$22,Oeko!CD429,Oeko!EQ429)</f>
        <v>7.3239917571946513</v>
      </c>
      <c r="R429" s="1979">
        <f>IF(Construction!$F$31=Construction!$R$22,Oeko!CE429,Oeko!ER429)</f>
        <v>7.3431393953368902</v>
      </c>
      <c r="S429" s="1998">
        <f>IF(Construction!$F$31=Construction!$R$22,Oeko!CF429,Oeko!ES429)</f>
        <v>10.366623275883441</v>
      </c>
      <c r="T429" s="1998">
        <f>IF(Construction!$F$31=Construction!$R$22,Oeko!CG429,Oeko!ET429)</f>
        <v>11.031199583329668</v>
      </c>
      <c r="U429" s="1998">
        <f>IF(Construction!$F$31=Construction!$R$22,Oeko!CH429,Oeko!EU429)</f>
        <v>9.1252016575699848</v>
      </c>
      <c r="V429" s="1998">
        <f>IF(Construction!$F$31=Construction!$R$22,Oeko!CI429,Oeko!EV429)</f>
        <v>9.1471344067147342</v>
      </c>
      <c r="W429" s="1998">
        <f>IF(Construction!$F$31=Construction!$R$22,Oeko!CJ429,Oeko!EW429)</f>
        <v>9.1873444468134338</v>
      </c>
      <c r="X429" s="1979">
        <f>IF(Construction!$F$31=Construction!$R$22,Oeko!CK429,Oeko!EX429)</f>
        <v>8.0912050618382434</v>
      </c>
      <c r="Y429" s="1979">
        <f>IF(Construction!$F$31=Construction!$R$22,Oeko!CL429,Oeko!EY429)</f>
        <v>8.6228661077952236</v>
      </c>
      <c r="Z429" s="1979">
        <f>IF(Construction!$F$31=Construction!$R$22,Oeko!CM429,Oeko!EZ429)</f>
        <v>7.0980677671874775</v>
      </c>
      <c r="AA429" s="1979">
        <f>IF(Construction!$F$31=Construction!$R$22,Oeko!CN429,Oeko!FA429)</f>
        <v>7.1156139665032736</v>
      </c>
      <c r="AB429" s="1979">
        <f>IF(Construction!$F$31=Construction!$R$22,Oeko!CO429,Oeko!FB429)</f>
        <v>7.1477819985822366</v>
      </c>
      <c r="AC429" s="1998">
        <f>IF(Construction!$F$31=Construction!$R$22,Oeko!CP429,Oeko!FC429)</f>
        <v>6.8827035403072339</v>
      </c>
      <c r="AD429" s="1998">
        <f>IF(Construction!$F$31=Construction!$R$22,Oeko!CQ429,Oeko!FD429)</f>
        <v>7.2640974606355515</v>
      </c>
      <c r="AE429" s="1998">
        <f>IF(Construction!$F$31=Construction!$R$22,Oeko!CR429,Oeko!FE429)</f>
        <v>6.2173945847383658</v>
      </c>
      <c r="AF429" s="1998">
        <f>IF(Construction!$F$31=Construction!$R$22,Oeko!CS429,Oeko!FF429)</f>
        <v>6.2417643060103059</v>
      </c>
      <c r="AG429" s="1998">
        <f>IF(Construction!$F$31=Construction!$R$22,Oeko!CT429,Oeko!FG429)</f>
        <v>6.2864421283421974</v>
      </c>
      <c r="AH429" s="1979">
        <f>IF(Construction!$F$31=Construction!$R$22,Oeko!CU429,Oeko!FH429)</f>
        <v>12.823413881392961</v>
      </c>
      <c r="AI429" s="1979">
        <f>IF(Construction!$F$31=Construction!$R$22,Oeko!CV429,Oeko!FI429)</f>
        <v>12.920892766480724</v>
      </c>
      <c r="AJ429" s="1979">
        <f>IF(Construction!$F$31=Construction!$R$22,Oeko!CW429,Oeko!FJ429)</f>
        <v>13.010248411144508</v>
      </c>
      <c r="AK429" s="1979">
        <f>IF(Construction!$F$31=Construction!$R$22,Oeko!CX429,Oeko!FK429)</f>
        <v>13.107727296232268</v>
      </c>
      <c r="AL429" s="1979">
        <f>IF(Construction!$F$31=Construction!$R$22,Oeko!CY429,Oeko!FL429)</f>
        <v>13.343301268527696</v>
      </c>
      <c r="AM429" s="1998">
        <f>IF(Construction!$F$31=Construction!$R$22,Oeko!CZ429,Oeko!FM429)</f>
        <v>6.6321999808253036</v>
      </c>
      <c r="AN429" s="1998">
        <f>IF(Construction!$F$31=Construction!$R$22,Oeko!DA429,Oeko!FN429)</f>
        <v>6.7398753485437322</v>
      </c>
      <c r="AO429" s="1998">
        <f>IF(Construction!$F$31=Construction!$R$22,Oeko!DB429,Oeko!FO429)</f>
        <v>7.3790253946347342</v>
      </c>
      <c r="AP429" s="1998">
        <f>IF(Construction!$F$31=Construction!$R$22,Oeko!DC429,Oeko!FP429)</f>
        <v>8.0222370609377247</v>
      </c>
      <c r="AQ429" s="1998">
        <f>IF(Construction!$F$31=Construction!$R$22,Oeko!DD429,Oeko!FQ429)</f>
        <v>8.6654487272407188</v>
      </c>
      <c r="AR429" s="1979">
        <f>IF(Construction!$F$31=Construction!$R$22,Oeko!DE429,Oeko!FR429)</f>
        <v>86.906394352650864</v>
      </c>
      <c r="AS429" s="1979">
        <f>IF(Construction!$F$31=Construction!$R$22,Oeko!DF429,Oeko!FS429)</f>
        <v>87.690988228860661</v>
      </c>
      <c r="AT429" s="1979">
        <f>IF(Construction!$F$31=Construction!$R$22,Oeko!DG429,Oeko!FT429)</f>
        <v>88.410199282052957</v>
      </c>
      <c r="AU429" s="1979">
        <f>IF(Construction!$F$31=Construction!$R$22,Oeko!DH429,Oeko!FU429)</f>
        <v>89.194793158262726</v>
      </c>
      <c r="AV429" s="1979">
        <f>IF(Construction!$F$31=Construction!$R$22,Oeko!DI429,Oeko!FV429)</f>
        <v>91.090895025769726</v>
      </c>
      <c r="AW429" s="1998">
        <f>IF(Construction!$F$31=Construction!$R$22,Oeko!DJ429,Oeko!FW429)</f>
        <v>88.156839474493225</v>
      </c>
      <c r="AX429" s="1998">
        <f>IF(Construction!$F$31=Construction!$R$22,Oeko!DK429,Oeko!FX429)</f>
        <v>88.939878211651077</v>
      </c>
      <c r="AY429" s="1998">
        <f>IF(Construction!$F$31=Construction!$R$22,Oeko!DL429,Oeko!FY429)</f>
        <v>89.657663720712435</v>
      </c>
      <c r="AZ429" s="1998">
        <f>IF(Construction!$F$31=Construction!$R$22,Oeko!DM429,Oeko!FZ429)</f>
        <v>90.440702457870302</v>
      </c>
      <c r="BA429" s="1998">
        <f>IF(Construction!$F$31=Construction!$R$22,Oeko!DN429,Oeko!GA429)</f>
        <v>92.333046072668452</v>
      </c>
      <c r="BB429" s="1979">
        <f>IF(Construction!$F$31=Construction!$R$22,Oeko!DO429,Oeko!GB429)</f>
        <v>5.7496032762565674</v>
      </c>
      <c r="BC429" s="1979">
        <f>IF(Construction!$F$31=Construction!$R$22,Oeko!DP429,Oeko!GC429)</f>
        <v>5.865005856039426</v>
      </c>
      <c r="BD429" s="1979">
        <f>IF(Construction!$F$31=Construction!$R$22,Oeko!DQ429,Oeko!GD429)</f>
        <v>5.9804084358222855</v>
      </c>
      <c r="BE429" s="1979">
        <f>IF(Construction!$F$31=Construction!$R$22,Oeko!DR429,Oeko!GE429)</f>
        <v>6.0958110156051442</v>
      </c>
      <c r="BF429" s="1979">
        <f>IF(Construction!$F$31=Construction!$R$22,Oeko!DS429,Oeko!GF429)</f>
        <v>6.2112135953880037</v>
      </c>
      <c r="BG429" s="1998">
        <f>IF(Construction!$F$31=Construction!$R$22,Oeko!DT429,Oeko!GG429)</f>
        <v>7.3742482847460193</v>
      </c>
      <c r="BH429" s="1998">
        <f>IF(Construction!$F$31=Construction!$R$22,Oeko!DU429,Oeko!GH429)</f>
        <v>7.4604815004074512</v>
      </c>
      <c r="BI429" s="1998">
        <f>IF(Construction!$F$31=Construction!$R$22,Oeko!DV429,Oeko!GI429)</f>
        <v>7.5467147160688857</v>
      </c>
      <c r="BJ429" s="1998">
        <f>IF(Construction!$F$31=Construction!$R$22,Oeko!DW429,Oeko!GJ429)</f>
        <v>7.6329479317303175</v>
      </c>
      <c r="BK429" s="2026">
        <f>IF(Construction!$F$31=Construction!$R$22,Oeko!DX429,Oeko!GK429)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IF(Construction!$F$31=Construction!$R$22,Oeko!BQ430,Oeko!ED430)</f>
        <v>6.8579458828173667</v>
      </c>
      <c r="E430" s="1979">
        <f>IF(Construction!$F$31=Construction!$R$22,Oeko!BR430,Oeko!EE430)</f>
        <v>7.0602849364290163</v>
      </c>
      <c r="F430" s="1979">
        <f>IF(Construction!$F$31=Construction!$R$22,Oeko!BS430,Oeko!EF430)</f>
        <v>7.7961294785192328</v>
      </c>
      <c r="G430" s="1979">
        <f>IF(Construction!$F$31=Construction!$R$22,Oeko!BT430,Oeko!EG430)</f>
        <v>8.5340048307154461</v>
      </c>
      <c r="H430" s="1979">
        <f>IF(Construction!$F$31=Construction!$R$22,Oeko!BU430,Oeko!EH430)</f>
        <v>9.2718801829116568</v>
      </c>
      <c r="I430" s="1998">
        <f>IF(Construction!$F$31=Construction!$R$22,Oeko!BV430,Oeko!EI430)</f>
        <v>11.124246446875448</v>
      </c>
      <c r="J430" s="1998">
        <f>IF(Construction!$F$31=Construction!$R$22,Oeko!BW430,Oeko!EJ430)</f>
        <v>11.622836380230362</v>
      </c>
      <c r="K430" s="1998">
        <f>IF(Construction!$F$31=Construction!$R$22,Oeko!BX430,Oeko!EK430)</f>
        <v>12.827351471274048</v>
      </c>
      <c r="L430" s="1998">
        <f>IF(Construction!$F$31=Construction!$R$22,Oeko!BY430,Oeko!EL430)</f>
        <v>14.039989802741713</v>
      </c>
      <c r="M430" s="1998">
        <f>IF(Construction!$F$31=Construction!$R$22,Oeko!BZ430,Oeko!EM430)</f>
        <v>15.252628134209379</v>
      </c>
      <c r="N430" s="1979">
        <f>IF(Construction!$F$31=Construction!$R$22,Oeko!CA430,Oeko!EN430)</f>
        <v>8.2966767614761192</v>
      </c>
      <c r="O430" s="1979">
        <f>IF(Construction!$F$31=Construction!$R$22,Oeko!CB430,Oeko!EO430)</f>
        <v>8.8206368865691953</v>
      </c>
      <c r="P430" s="1979">
        <f>IF(Construction!$F$31=Construction!$R$22,Oeko!CC430,Oeko!EP430)</f>
        <v>7.3044587313401221</v>
      </c>
      <c r="Q430" s="1979">
        <f>IF(Construction!$F$31=Construction!$R$22,Oeko!CD430,Oeko!EQ430)</f>
        <v>7.318384286352658</v>
      </c>
      <c r="R430" s="1979">
        <f>IF(Construction!$F$31=Construction!$R$22,Oeko!CE430,Oeko!ER430)</f>
        <v>7.3439144705423107</v>
      </c>
      <c r="S430" s="1998">
        <f>IF(Construction!$F$31=Construction!$R$22,Oeko!CF430,Oeko!ES430)</f>
        <v>10.095854635929802</v>
      </c>
      <c r="T430" s="1998">
        <f>IF(Construction!$F$31=Construction!$R$22,Oeko!CG430,Oeko!ET430)</f>
        <v>10.725748908268372</v>
      </c>
      <c r="U430" s="1998">
        <f>IF(Construction!$F$31=Construction!$R$22,Oeko!CH430,Oeko!EU430)</f>
        <v>8.9457298369764011</v>
      </c>
      <c r="V430" s="1998">
        <f>IF(Construction!$F$31=Construction!$R$22,Oeko!CI430,Oeko!EV430)</f>
        <v>8.973145773407337</v>
      </c>
      <c r="W430" s="1998">
        <f>IF(Construction!$F$31=Construction!$R$22,Oeko!CJ430,Oeko!EW430)</f>
        <v>9.0234083235307132</v>
      </c>
      <c r="X430" s="1979">
        <f>IF(Construction!$F$31=Construction!$R$22,Oeko!CK430,Oeko!EX430)</f>
        <v>8.0236527610728796</v>
      </c>
      <c r="Y430" s="1979">
        <f>IF(Construction!$F$31=Construction!$R$22,Oeko!CL430,Oeko!EY430)</f>
        <v>8.527568178943735</v>
      </c>
      <c r="Z430" s="1979">
        <f>IF(Construction!$F$31=Construction!$R$22,Oeko!CM430,Oeko!EZ430)</f>
        <v>7.1035529219101603</v>
      </c>
      <c r="AA430" s="1979">
        <f>IF(Construction!$F$31=Construction!$R$22,Oeko!CN430,Oeko!FA430)</f>
        <v>7.1254856710549053</v>
      </c>
      <c r="AB430" s="1979">
        <f>IF(Construction!$F$31=Construction!$R$22,Oeko!CO430,Oeko!FB430)</f>
        <v>7.1656957111536084</v>
      </c>
      <c r="AC430" s="1998">
        <f>IF(Construction!$F$31=Construction!$R$22,Oeko!CP430,Oeko!FC430)</f>
        <v>7.1856245588107877</v>
      </c>
      <c r="AD430" s="1998">
        <f>IF(Construction!$F$31=Construction!$R$22,Oeko!CQ430,Oeko!FD430)</f>
        <v>7.5670184791391053</v>
      </c>
      <c r="AE430" s="1998">
        <f>IF(Construction!$F$31=Construction!$R$22,Oeko!CR430,Oeko!FE430)</f>
        <v>6.5203156032419169</v>
      </c>
      <c r="AF430" s="1998">
        <f>IF(Construction!$F$31=Construction!$R$22,Oeko!CS430,Oeko!FF430)</f>
        <v>6.5446853245138596</v>
      </c>
      <c r="AG430" s="1998">
        <f>IF(Construction!$F$31=Construction!$R$22,Oeko!CT430,Oeko!FG430)</f>
        <v>6.5893631468457503</v>
      </c>
      <c r="AH430" s="1979">
        <f>IF(Construction!$F$31=Construction!$R$22,Oeko!CU430,Oeko!FH430)</f>
        <v>13.195602012283567</v>
      </c>
      <c r="AI430" s="1979">
        <f>IF(Construction!$F$31=Construction!$R$22,Oeko!CV430,Oeko!FI430)</f>
        <v>13.293080897371331</v>
      </c>
      <c r="AJ430" s="1979">
        <f>IF(Construction!$F$31=Construction!$R$22,Oeko!CW430,Oeko!FJ430)</f>
        <v>13.382436542035112</v>
      </c>
      <c r="AK430" s="1979">
        <f>IF(Construction!$F$31=Construction!$R$22,Oeko!CX430,Oeko!FK430)</f>
        <v>13.479915427122876</v>
      </c>
      <c r="AL430" s="1979">
        <f>IF(Construction!$F$31=Construction!$R$22,Oeko!CY430,Oeko!FL430)</f>
        <v>13.715489399418303</v>
      </c>
      <c r="AM430" s="1998">
        <f>IF(Construction!$F$31=Construction!$R$22,Oeko!CZ430,Oeko!FM430)</f>
        <v>6.785046393402645</v>
      </c>
      <c r="AN430" s="1998">
        <f>IF(Construction!$F$31=Construction!$R$22,Oeko!DA430,Oeko!FN430)</f>
        <v>6.9218787373773445</v>
      </c>
      <c r="AO430" s="1998">
        <f>IF(Construction!$F$31=Construction!$R$22,Oeko!DB430,Oeko!FO430)</f>
        <v>7.5901857597246147</v>
      </c>
      <c r="AP430" s="1998">
        <f>IF(Construction!$F$31=Construction!$R$22,Oeko!DC430,Oeko!FP430)</f>
        <v>8.2625544022838771</v>
      </c>
      <c r="AQ430" s="1998">
        <f>IF(Construction!$F$31=Construction!$R$22,Oeko!DD430,Oeko!FQ430)</f>
        <v>8.9349230448431403</v>
      </c>
      <c r="AR430" s="1979">
        <f>IF(Construction!$F$31=Construction!$R$22,Oeko!DE430,Oeko!FR430)</f>
        <v>94.714653927088378</v>
      </c>
      <c r="AS430" s="1979">
        <f>IF(Construction!$F$31=Construction!$R$22,Oeko!DF430,Oeko!FS430)</f>
        <v>95.499247803298147</v>
      </c>
      <c r="AT430" s="1979">
        <f>IF(Construction!$F$31=Construction!$R$22,Oeko!DG430,Oeko!FT430)</f>
        <v>96.218458856490457</v>
      </c>
      <c r="AU430" s="1979">
        <f>IF(Construction!$F$31=Construction!$R$22,Oeko!DH430,Oeko!FU430)</f>
        <v>97.00305273270024</v>
      </c>
      <c r="AV430" s="1979">
        <f>IF(Construction!$F$31=Construction!$R$22,Oeko!DI430,Oeko!FV430)</f>
        <v>98.899154600207211</v>
      </c>
      <c r="AW430" s="1998">
        <f>IF(Construction!$F$31=Construction!$R$22,Oeko!DJ430,Oeko!FW430)</f>
        <v>72.590769446833775</v>
      </c>
      <c r="AX430" s="1998">
        <f>IF(Construction!$F$31=Construction!$R$22,Oeko!DK430,Oeko!FX430)</f>
        <v>73.765327552570554</v>
      </c>
      <c r="AY430" s="1998">
        <f>IF(Construction!$F$31=Construction!$R$22,Oeko!DL430,Oeko!FY430)</f>
        <v>74.842005816162597</v>
      </c>
      <c r="AZ430" s="1998">
        <f>IF(Construction!$F$31=Construction!$R$22,Oeko!DM430,Oeko!FZ430)</f>
        <v>76.01656392189939</v>
      </c>
      <c r="BA430" s="1998">
        <f>IF(Construction!$F$31=Construction!$R$22,Oeko!DN430,Oeko!GA430)</f>
        <v>78.855079344096623</v>
      </c>
      <c r="BB430" s="1979">
        <f>IF(Construction!$F$31=Construction!$R$22,Oeko!DO430,Oeko!GB430)</f>
        <v>6.400241316615829</v>
      </c>
      <c r="BC430" s="1979">
        <f>IF(Construction!$F$31=Construction!$R$22,Oeko!DP430,Oeko!GC430)</f>
        <v>6.5156438963986876</v>
      </c>
      <c r="BD430" s="1979">
        <f>IF(Construction!$F$31=Construction!$R$22,Oeko!DQ430,Oeko!GD430)</f>
        <v>6.631046476181548</v>
      </c>
      <c r="BE430" s="1979">
        <f>IF(Construction!$F$31=Construction!$R$22,Oeko!DR430,Oeko!GE430)</f>
        <v>6.7464490559644075</v>
      </c>
      <c r="BF430" s="1979">
        <f>IF(Construction!$F$31=Construction!$R$22,Oeko!DS430,Oeko!GF430)</f>
        <v>6.861851635747267</v>
      </c>
      <c r="BG430" s="1998">
        <f>IF(Construction!$F$31=Construction!$R$22,Oeko!DT430,Oeko!GG430)</f>
        <v>7.4476693142432655</v>
      </c>
      <c r="BH430" s="1998">
        <f>IF(Construction!$F$31=Construction!$R$22,Oeko!DU430,Oeko!GH430)</f>
        <v>7.5626469351251737</v>
      </c>
      <c r="BI430" s="1998">
        <f>IF(Construction!$F$31=Construction!$R$22,Oeko!DV430,Oeko!GI430)</f>
        <v>7.6776245560070846</v>
      </c>
      <c r="BJ430" s="1998">
        <f>IF(Construction!$F$31=Construction!$R$22,Oeko!DW430,Oeko!GJ430)</f>
        <v>7.7926021768889955</v>
      </c>
      <c r="BK430" s="2026">
        <f>IF(Construction!$F$31=Construction!$R$22,Oeko!DX430,Oeko!GK430)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IF(Construction!$F$31=Construction!$R$22,Oeko!BQ431,Oeko!ED431)</f>
        <v>6.9896043261736605</v>
      </c>
      <c r="E431" s="1979">
        <f>IF(Construction!$F$31=Construction!$R$22,Oeko!BR431,Oeko!EE431)</f>
        <v>7.2204665087316613</v>
      </c>
      <c r="F431" s="1979">
        <f>IF(Construction!$F$31=Construction!$R$22,Oeko!BS431,Oeko!EF431)</f>
        <v>7.984834179768229</v>
      </c>
      <c r="G431" s="1979">
        <f>IF(Construction!$F$31=Construction!$R$22,Oeko!BT431,Oeko!EG431)</f>
        <v>8.7512326609107927</v>
      </c>
      <c r="H431" s="1979">
        <f>IF(Construction!$F$31=Construction!$R$22,Oeko!BU431,Oeko!EH431)</f>
        <v>9.5176311420533573</v>
      </c>
      <c r="I431" s="1998">
        <f>IF(Construction!$F$31=Construction!$R$22,Oeko!BV431,Oeko!EI431)</f>
        <v>11.028965566307756</v>
      </c>
      <c r="J431" s="1998">
        <f>IF(Construction!$F$31=Construction!$R$22,Oeko!BW431,Oeko!EJ431)</f>
        <v>11.509379722256162</v>
      </c>
      <c r="K431" s="1998">
        <f>IF(Construction!$F$31=Construction!$R$22,Oeko!BX431,Oeko!EK431)</f>
        <v>12.695719035893344</v>
      </c>
      <c r="L431" s="1998">
        <f>IF(Construction!$F$31=Construction!$R$22,Oeko!BY431,Oeko!EL431)</f>
        <v>13.890181589954501</v>
      </c>
      <c r="M431" s="1998">
        <f>IF(Construction!$F$31=Construction!$R$22,Oeko!BZ431,Oeko!EM431)</f>
        <v>15.084644144015662</v>
      </c>
      <c r="N431" s="1979">
        <f>IF(Construction!$F$31=Construction!$R$22,Oeko!CA431,Oeko!EN431)</f>
        <v>8.2127653125846134</v>
      </c>
      <c r="O431" s="1979">
        <f>IF(Construction!$F$31=Construction!$R$22,Oeko!CB431,Oeko!EO431)</f>
        <v>8.7191091658769739</v>
      </c>
      <c r="P431" s="1979">
        <f>IF(Construction!$F$31=Construction!$R$22,Oeko!CC431,Oeko!EP431)</f>
        <v>7.2669202700600737</v>
      </c>
      <c r="Q431" s="1979">
        <f>IF(Construction!$F$31=Construction!$R$22,Oeko!CD431,Oeko!EQ431)</f>
        <v>7.2836309360751192</v>
      </c>
      <c r="R431" s="1979">
        <f>IF(Construction!$F$31=Construction!$R$22,Oeko!CE431,Oeko!ER431)</f>
        <v>7.3142671571027025</v>
      </c>
      <c r="S431" s="1998">
        <f>IF(Construction!$F$31=Construction!$R$22,Oeko!CF431,Oeko!ES431)</f>
        <v>10.807610843335118</v>
      </c>
      <c r="T431" s="1998">
        <f>IF(Construction!$F$31=Construction!$R$22,Oeko!CG431,Oeko!ET431)</f>
        <v>11.437505115673686</v>
      </c>
      <c r="U431" s="1998">
        <f>IF(Construction!$F$31=Construction!$R$22,Oeko!CH431,Oeko!EU431)</f>
        <v>9.6574860443817148</v>
      </c>
      <c r="V431" s="1998">
        <f>IF(Construction!$F$31=Construction!$R$22,Oeko!CI431,Oeko!EV431)</f>
        <v>9.6849019808126489</v>
      </c>
      <c r="W431" s="1998">
        <f>IF(Construction!$F$31=Construction!$R$22,Oeko!CJ431,Oeko!EW431)</f>
        <v>9.7351645309360268</v>
      </c>
      <c r="X431" s="1979">
        <f>IF(Construction!$F$31=Construction!$R$22,Oeko!CK431,Oeko!EX431)</f>
        <v>8.5930577269971309</v>
      </c>
      <c r="Y431" s="1979">
        <f>IF(Construction!$F$31=Construction!$R$22,Oeko!CL431,Oeko!EY431)</f>
        <v>9.0969731448679845</v>
      </c>
      <c r="Z431" s="1979">
        <f>IF(Construction!$F$31=Construction!$R$22,Oeko!CM431,Oeko!EZ431)</f>
        <v>7.6729578878344107</v>
      </c>
      <c r="AA431" s="1979">
        <f>IF(Construction!$F$31=Construction!$R$22,Oeko!CN431,Oeko!FA431)</f>
        <v>7.6948906369791574</v>
      </c>
      <c r="AB431" s="1979">
        <f>IF(Construction!$F$31=Construction!$R$22,Oeko!CO431,Oeko!FB431)</f>
        <v>7.7351006770778579</v>
      </c>
      <c r="AC431" s="1998">
        <f>IF(Construction!$F$31=Construction!$R$22,Oeko!CP431,Oeko!FC431)</f>
        <v>7.5975971439756211</v>
      </c>
      <c r="AD431" s="1998">
        <f>IF(Construction!$F$31=Construction!$R$22,Oeko!CQ431,Oeko!FD431)</f>
        <v>7.9789910643039379</v>
      </c>
      <c r="AE431" s="1998">
        <f>IF(Construction!$F$31=Construction!$R$22,Oeko!CR431,Oeko!FE431)</f>
        <v>6.9322881884067513</v>
      </c>
      <c r="AF431" s="1998">
        <f>IF(Construction!$F$31=Construction!$R$22,Oeko!CS431,Oeko!FF431)</f>
        <v>6.9566579096786914</v>
      </c>
      <c r="AG431" s="1998">
        <f>IF(Construction!$F$31=Construction!$R$22,Oeko!CT431,Oeko!FG431)</f>
        <v>7.0013357320105829</v>
      </c>
      <c r="AH431" s="1979">
        <f>IF(Construction!$F$31=Construction!$R$22,Oeko!CU431,Oeko!FH431)</f>
        <v>13.539917023239637</v>
      </c>
      <c r="AI431" s="1979">
        <f>IF(Construction!$F$31=Construction!$R$22,Oeko!CV431,Oeko!FI431)</f>
        <v>13.637395908327397</v>
      </c>
      <c r="AJ431" s="1979">
        <f>IF(Construction!$F$31=Construction!$R$22,Oeko!CW431,Oeko!FJ431)</f>
        <v>13.726751552991182</v>
      </c>
      <c r="AK431" s="1979">
        <f>IF(Construction!$F$31=Construction!$R$22,Oeko!CX431,Oeko!FK431)</f>
        <v>13.824230438078942</v>
      </c>
      <c r="AL431" s="1979">
        <f>IF(Construction!$F$31=Construction!$R$22,Oeko!CY431,Oeko!FL431)</f>
        <v>14.059804410374371</v>
      </c>
      <c r="AM431" s="1998">
        <f>IF(Construction!$F$31=Construction!$R$22,Oeko!CZ431,Oeko!FM431)</f>
        <v>6.981563209573511</v>
      </c>
      <c r="AN431" s="1998">
        <f>IF(Construction!$F$31=Construction!$R$22,Oeko!DA431,Oeko!FN431)</f>
        <v>7.1558830944491287</v>
      </c>
      <c r="AO431" s="1998">
        <f>IF(Construction!$F$31=Construction!$R$22,Oeko!DB431,Oeko!FO431)</f>
        <v>7.8616776576973209</v>
      </c>
      <c r="AP431" s="1998">
        <f>IF(Construction!$F$31=Construction!$R$22,Oeko!DC431,Oeko!FP431)</f>
        <v>8.5715338411575033</v>
      </c>
      <c r="AQ431" s="1998">
        <f>IF(Construction!$F$31=Construction!$R$22,Oeko!DD431,Oeko!FQ431)</f>
        <v>9.2813900246176839</v>
      </c>
      <c r="AR431" s="1979">
        <f>IF(Construction!$F$31=Construction!$R$22,Oeko!DE431,Oeko!FR431)</f>
        <v>84.226423955582803</v>
      </c>
      <c r="AS431" s="1979">
        <f>IF(Construction!$F$31=Construction!$R$22,Oeko!DF431,Oeko!FS431)</f>
        <v>85.403314769897491</v>
      </c>
      <c r="AT431" s="1979">
        <f>IF(Construction!$F$31=Construction!$R$22,Oeko!DG431,Oeko!FT431)</f>
        <v>86.482131349685943</v>
      </c>
      <c r="AU431" s="1979">
        <f>IF(Construction!$F$31=Construction!$R$22,Oeko!DH431,Oeko!FU431)</f>
        <v>87.659022164000618</v>
      </c>
      <c r="AV431" s="1979">
        <f>IF(Construction!$F$31=Construction!$R$22,Oeko!DI431,Oeko!FV431)</f>
        <v>90.503174965261081</v>
      </c>
      <c r="AW431" s="1998">
        <f>IF(Construction!$F$31=Construction!$R$22,Oeko!DJ431,Oeko!FW431)</f>
        <v>85.336292838416725</v>
      </c>
      <c r="AX431" s="1998">
        <f>IF(Construction!$F$31=Construction!$R$22,Oeko!DK431,Oeko!FX431)</f>
        <v>86.510850944153503</v>
      </c>
      <c r="AY431" s="1998">
        <f>IF(Construction!$F$31=Construction!$R$22,Oeko!DL431,Oeko!FY431)</f>
        <v>87.587529207745561</v>
      </c>
      <c r="AZ431" s="1998">
        <f>IF(Construction!$F$31=Construction!$R$22,Oeko!DM431,Oeko!FZ431)</f>
        <v>88.762087313482354</v>
      </c>
      <c r="BA431" s="1998">
        <f>IF(Construction!$F$31=Construction!$R$22,Oeko!DN431,Oeko!GA431)</f>
        <v>91.600602735679573</v>
      </c>
      <c r="BB431" s="1979">
        <f>IF(Construction!$F$31=Construction!$R$22,Oeko!DO431,Oeko!GB431)</f>
        <v>6.8851746281717094</v>
      </c>
      <c r="BC431" s="1979">
        <f>IF(Construction!$F$31=Construction!$R$22,Oeko!DP431,Oeko!GC431)</f>
        <v>7.0005772079545689</v>
      </c>
      <c r="BD431" s="1979">
        <f>IF(Construction!$F$31=Construction!$R$22,Oeko!DQ431,Oeko!GD431)</f>
        <v>7.1159797877374276</v>
      </c>
      <c r="BE431" s="1979">
        <f>IF(Construction!$F$31=Construction!$R$22,Oeko!DR431,Oeko!GE431)</f>
        <v>7.2313823675202871</v>
      </c>
      <c r="BF431" s="1979">
        <f>IF(Construction!$F$31=Construction!$R$22,Oeko!DS431,Oeko!GF431)</f>
        <v>7.3467849473031457</v>
      </c>
      <c r="BG431" s="1998">
        <f>IF(Construction!$F$31=Construction!$R$22,Oeko!DT431,Oeko!GG431)</f>
        <v>7.8704234566094327</v>
      </c>
      <c r="BH431" s="1998">
        <f>IF(Construction!$F$31=Construction!$R$22,Oeko!DU431,Oeko!GH431)</f>
        <v>7.9854010774913418</v>
      </c>
      <c r="BI431" s="1998">
        <f>IF(Construction!$F$31=Construction!$R$22,Oeko!DV431,Oeko!GI431)</f>
        <v>8.1003786983732535</v>
      </c>
      <c r="BJ431" s="1998">
        <f>IF(Construction!$F$31=Construction!$R$22,Oeko!DW431,Oeko!GJ431)</f>
        <v>8.2153563192551644</v>
      </c>
      <c r="BK431" s="2026">
        <f>IF(Construction!$F$31=Construction!$R$22,Oeko!DX431,Oeko!GK431)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IF(Construction!$F$31=Construction!$R$22,Oeko!BQ432,Oeko!ED432)</f>
        <v>7.0419236822560016</v>
      </c>
      <c r="E432" s="1979">
        <f>IF(Construction!$F$31=Construction!$R$22,Oeko!BR432,Oeko!EE432)</f>
        <v>7.2861742722786165</v>
      </c>
      <c r="F432" s="1979">
        <f>IF(Construction!$F$31=Construction!$R$22,Oeko!BS432,Oeko!EF432)</f>
        <v>8.063930350779799</v>
      </c>
      <c r="G432" s="1979">
        <f>IF(Construction!$F$31=Construction!$R$22,Oeko!BT432,Oeko!EG432)</f>
        <v>8.8437172393869776</v>
      </c>
      <c r="H432" s="1979">
        <f>IF(Construction!$F$31=Construction!$R$22,Oeko!BU432,Oeko!EH432)</f>
        <v>9.6235041279941562</v>
      </c>
      <c r="I432" s="1998">
        <f>IF(Construction!$F$31=Construction!$R$22,Oeko!BV432,Oeko!EI432)</f>
        <v>11.240700856458185</v>
      </c>
      <c r="J432" s="1998">
        <f>IF(Construction!$F$31=Construction!$R$22,Oeko!BW432,Oeko!EJ432)</f>
        <v>11.761505628865494</v>
      </c>
      <c r="K432" s="1998">
        <f>IF(Construction!$F$31=Construction!$R$22,Oeko!BX432,Oeko!EK432)</f>
        <v>12.988235558961577</v>
      </c>
      <c r="L432" s="1998">
        <f>IF(Construction!$F$31=Construction!$R$22,Oeko!BY432,Oeko!EL432)</f>
        <v>14.22308872948164</v>
      </c>
      <c r="M432" s="1998">
        <f>IF(Construction!$F$31=Construction!$R$22,Oeko!BZ432,Oeko!EM432)</f>
        <v>15.457941900001702</v>
      </c>
      <c r="N432" s="1979">
        <f>IF(Construction!$F$31=Construction!$R$22,Oeko!CA432,Oeko!EN432)</f>
        <v>8.0532677241318602</v>
      </c>
      <c r="O432" s="1979">
        <f>IF(Construction!$F$31=Construction!$R$22,Oeko!CB432,Oeko!EO432)</f>
        <v>8.5331871697231492</v>
      </c>
      <c r="P432" s="1979">
        <f>IF(Construction!$F$31=Construction!$R$22,Oeko!CC432,Oeko!EP432)</f>
        <v>7.1769821630245065</v>
      </c>
      <c r="Q432" s="1979">
        <f>IF(Construction!$F$31=Construction!$R$22,Oeko!CD432,Oeko!EQ432)</f>
        <v>7.1978704955433122</v>
      </c>
      <c r="R432" s="1979">
        <f>IF(Construction!$F$31=Construction!$R$22,Oeko!CE432,Oeko!ER432)</f>
        <v>7.2361657718277899</v>
      </c>
      <c r="S432" s="1998">
        <f>IF(Construction!$F$31=Construction!$R$22,Oeko!CF432,Oeko!ES432)</f>
        <v>11.337289881404187</v>
      </c>
      <c r="T432" s="1998">
        <f>IF(Construction!$F$31=Construction!$R$22,Oeko!CG432,Oeko!ET432)</f>
        <v>11.967184153742755</v>
      </c>
      <c r="U432" s="1998">
        <f>IF(Construction!$F$31=Construction!$R$22,Oeko!CH432,Oeko!EU432)</f>
        <v>10.187165082450786</v>
      </c>
      <c r="V432" s="1998">
        <f>IF(Construction!$F$31=Construction!$R$22,Oeko!CI432,Oeko!EV432)</f>
        <v>10.21458101888172</v>
      </c>
      <c r="W432" s="1998">
        <f>IF(Construction!$F$31=Construction!$R$22,Oeko!CJ432,Oeko!EW432)</f>
        <v>10.264843569005096</v>
      </c>
      <c r="X432" s="1979">
        <f>IF(Construction!$F$31=Construction!$R$22,Oeko!CK432,Oeko!EX432)</f>
        <v>8.8777602099592556</v>
      </c>
      <c r="Y432" s="1979">
        <f>IF(Construction!$F$31=Construction!$R$22,Oeko!CL432,Oeko!EY432)</f>
        <v>9.3816756278301092</v>
      </c>
      <c r="Z432" s="1979">
        <f>IF(Construction!$F$31=Construction!$R$22,Oeko!CM432,Oeko!EZ432)</f>
        <v>7.9576603707965354</v>
      </c>
      <c r="AA432" s="1979">
        <f>IF(Construction!$F$31=Construction!$R$22,Oeko!CN432,Oeko!FA432)</f>
        <v>7.9795931199412831</v>
      </c>
      <c r="AB432" s="1979">
        <f>IF(Construction!$F$31=Construction!$R$22,Oeko!CO432,Oeko!FB432)</f>
        <v>8.0198031600399844</v>
      </c>
      <c r="AC432" s="1998">
        <f>IF(Construction!$F$31=Construction!$R$22,Oeko!CP432,Oeko!FC432)</f>
        <v>7.8035834365580365</v>
      </c>
      <c r="AD432" s="1998">
        <f>IF(Construction!$F$31=Construction!$R$22,Oeko!CQ432,Oeko!FD432)</f>
        <v>8.1849773568863533</v>
      </c>
      <c r="AE432" s="1998">
        <f>IF(Construction!$F$31=Construction!$R$22,Oeko!CR432,Oeko!FE432)</f>
        <v>7.1382744809891667</v>
      </c>
      <c r="AF432" s="1998">
        <f>IF(Construction!$F$31=Construction!$R$22,Oeko!CS432,Oeko!FF432)</f>
        <v>7.1626442022611085</v>
      </c>
      <c r="AG432" s="1998">
        <f>IF(Construction!$F$31=Construction!$R$22,Oeko!CT432,Oeko!FG432)</f>
        <v>7.2073220245929992</v>
      </c>
      <c r="AH432" s="1979">
        <f>IF(Construction!$F$31=Construction!$R$22,Oeko!CU432,Oeko!FH432)</f>
        <v>14.14328809005789</v>
      </c>
      <c r="AI432" s="1979">
        <f>IF(Construction!$F$31=Construction!$R$22,Oeko!CV432,Oeko!FI432)</f>
        <v>14.240766975145652</v>
      </c>
      <c r="AJ432" s="1979">
        <f>IF(Construction!$F$31=Construction!$R$22,Oeko!CW432,Oeko!FJ432)</f>
        <v>14.330122619809435</v>
      </c>
      <c r="AK432" s="1979">
        <f>IF(Construction!$F$31=Construction!$R$22,Oeko!CX432,Oeko!FK432)</f>
        <v>14.427601504897195</v>
      </c>
      <c r="AL432" s="1979">
        <f>IF(Construction!$F$31=Construction!$R$22,Oeko!CY432,Oeko!FL432)</f>
        <v>14.663175477192624</v>
      </c>
      <c r="AM432" s="1998">
        <f>IF(Construction!$F$31=Construction!$R$22,Oeko!CZ432,Oeko!FM432)</f>
        <v>7.1562448239476142</v>
      </c>
      <c r="AN432" s="1998">
        <f>IF(Construction!$F$31=Construction!$R$22,Oeko!DA432,Oeko!FN432)</f>
        <v>7.3638869674018279</v>
      </c>
      <c r="AO432" s="1998">
        <f>IF(Construction!$F$31=Construction!$R$22,Oeko!DB432,Oeko!FO432)</f>
        <v>8.1030037892286142</v>
      </c>
      <c r="AP432" s="1998">
        <f>IF(Construction!$F$31=Construction!$R$22,Oeko!DC432,Oeko!FP432)</f>
        <v>8.8461822312673899</v>
      </c>
      <c r="AQ432" s="1998">
        <f>IF(Construction!$F$31=Construction!$R$22,Oeko!DD432,Oeko!FQ432)</f>
        <v>9.5893606733061674</v>
      </c>
      <c r="AR432" s="1979">
        <f>IF(Construction!$F$31=Construction!$R$22,Oeko!DE432,Oeko!FR432)</f>
        <v>90.919217876529231</v>
      </c>
      <c r="AS432" s="1979">
        <f>IF(Construction!$F$31=Construction!$R$22,Oeko!DF432,Oeko!FS432)</f>
        <v>92.096108690843906</v>
      </c>
      <c r="AT432" s="1979">
        <f>IF(Construction!$F$31=Construction!$R$22,Oeko!DG432,Oeko!FT432)</f>
        <v>93.174925270632372</v>
      </c>
      <c r="AU432" s="1979">
        <f>IF(Construction!$F$31=Construction!$R$22,Oeko!DH432,Oeko!FU432)</f>
        <v>94.351816084947046</v>
      </c>
      <c r="AV432" s="1979">
        <f>IF(Construction!$F$31=Construction!$R$22,Oeko!DI432,Oeko!FV432)</f>
        <v>97.19596888620751</v>
      </c>
      <c r="AW432" s="1998">
        <f>IF(Construction!$F$31=Construction!$R$22,Oeko!DJ432,Oeko!FW432)</f>
        <v>94.348354658114957</v>
      </c>
      <c r="AX432" s="1998">
        <f>IF(Construction!$F$31=Construction!$R$22,Oeko!DK432,Oeko!FX432)</f>
        <v>95.522912763851735</v>
      </c>
      <c r="AY432" s="1998">
        <f>IF(Construction!$F$31=Construction!$R$22,Oeko!DL432,Oeko!FY432)</f>
        <v>96.599591027443807</v>
      </c>
      <c r="AZ432" s="1998">
        <f>IF(Construction!$F$31=Construction!$R$22,Oeko!DM432,Oeko!FZ432)</f>
        <v>97.7741491331806</v>
      </c>
      <c r="BA432" s="1998">
        <f>IF(Construction!$F$31=Construction!$R$22,Oeko!DN432,Oeko!GA432)</f>
        <v>100.61266455537782</v>
      </c>
      <c r="BB432" s="1979">
        <f>IF(Construction!$F$31=Construction!$R$22,Oeko!DO432,Oeko!GB432)</f>
        <v>6.2081727878327619</v>
      </c>
      <c r="BC432" s="1979">
        <f>IF(Construction!$F$31=Construction!$R$22,Oeko!DP432,Oeko!GC432)</f>
        <v>6.3812766575070512</v>
      </c>
      <c r="BD432" s="1979">
        <f>IF(Construction!$F$31=Construction!$R$22,Oeko!DQ432,Oeko!GD432)</f>
        <v>6.5543805271813396</v>
      </c>
      <c r="BE432" s="1979">
        <f>IF(Construction!$F$31=Construction!$R$22,Oeko!DR432,Oeko!GE432)</f>
        <v>6.7274843968556288</v>
      </c>
      <c r="BF432" s="1979">
        <f>IF(Construction!$F$31=Construction!$R$22,Oeko!DS432,Oeko!GF432)</f>
        <v>6.9005882665299172</v>
      </c>
      <c r="BG432" s="1998">
        <f>IF(Construction!$F$31=Construction!$R$22,Oeko!DT432,Oeko!GG432)</f>
        <v>7.4374884060731796</v>
      </c>
      <c r="BH432" s="1998">
        <f>IF(Construction!$F$31=Construction!$R$22,Oeko!DU432,Oeko!GH432)</f>
        <v>7.6099548373960424</v>
      </c>
      <c r="BI432" s="1998">
        <f>IF(Construction!$F$31=Construction!$R$22,Oeko!DV432,Oeko!GI432)</f>
        <v>7.7824212687189087</v>
      </c>
      <c r="BJ432" s="1998">
        <f>IF(Construction!$F$31=Construction!$R$22,Oeko!DW432,Oeko!GJ432)</f>
        <v>7.9548877000417741</v>
      </c>
      <c r="BK432" s="2026">
        <f>IF(Construction!$F$31=Construction!$R$22,Oeko!DX432,Oeko!GK432)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IF(Construction!$F$31=Construction!$R$22,Oeko!BQ433,Oeko!ED433)</f>
        <v>7.1771884477611128</v>
      </c>
      <c r="E433" s="1979">
        <f>IF(Construction!$F$31=Construction!$R$22,Oeko!BR433,Oeko!EE433)</f>
        <v>7.4506501086156121</v>
      </c>
      <c r="F433" s="1979">
        <f>IF(Construction!$F$31=Construction!$R$22,Oeko!BS433,Oeko!EF433)</f>
        <v>8.2576172579486808</v>
      </c>
      <c r="G433" s="1979">
        <f>IF(Construction!$F$31=Construction!$R$22,Oeko!BT433,Oeko!EG433)</f>
        <v>9.0666152173877403</v>
      </c>
      <c r="H433" s="1979">
        <f>IF(Construction!$F$31=Construction!$R$22,Oeko!BU433,Oeko!EH433)</f>
        <v>9.8756131768268052</v>
      </c>
      <c r="I433" s="1998">
        <f>IF(Construction!$F$31=Construction!$R$22,Oeko!BV433,Oeko!EI433)</f>
        <v>9.0217582316108018</v>
      </c>
      <c r="J433" s="1998">
        <f>IF(Construction!$F$31=Construction!$R$22,Oeko!BW433,Oeko!EJ433)</f>
        <v>9.3447843347660875</v>
      </c>
      <c r="K433" s="1998">
        <f>IF(Construction!$F$31=Construction!$R$22,Oeko!BX433,Oeko!EK433)</f>
        <v>10.191161875869966</v>
      </c>
      <c r="L433" s="1998">
        <f>IF(Construction!$F$31=Construction!$R$22,Oeko!BY433,Oeko!EL433)</f>
        <v>11.049724277609814</v>
      </c>
      <c r="M433" s="1998">
        <f>IF(Construction!$F$31=Construction!$R$22,Oeko!BZ433,Oeko!EM433)</f>
        <v>11.908286679349663</v>
      </c>
      <c r="N433" s="1979">
        <f>IF(Construction!$F$31=Construction!$R$22,Oeko!CA433,Oeko!EN433)</f>
        <v>7.4735545356326316</v>
      </c>
      <c r="O433" s="1979">
        <f>IF(Construction!$F$31=Construction!$R$22,Oeko!CB433,Oeko!EO433)</f>
        <v>7.909433301722137</v>
      </c>
      <c r="P433" s="1979">
        <f>IF(Construction!$F$31=Construction!$R$22,Oeko!CC433,Oeko!EP433)</f>
        <v>6.713201443553924</v>
      </c>
      <c r="Q433" s="1979">
        <f>IF(Construction!$F$31=Construction!$R$22,Oeko!CD433,Oeko!EQ433)</f>
        <v>6.7410525535789985</v>
      </c>
      <c r="R433" s="1979">
        <f>IF(Construction!$F$31=Construction!$R$22,Oeko!CE433,Oeko!ER433)</f>
        <v>6.7921129219583039</v>
      </c>
      <c r="S433" s="1998">
        <f>IF(Construction!$F$31=Construction!$R$22,Oeko!CF433,Oeko!ES433)</f>
        <v>11.668339280197355</v>
      </c>
      <c r="T433" s="1998">
        <f>IF(Construction!$F$31=Construction!$R$22,Oeko!CG433,Oeko!ET433)</f>
        <v>12.298233552535923</v>
      </c>
      <c r="U433" s="1998">
        <f>IF(Construction!$F$31=Construction!$R$22,Oeko!CH433,Oeko!EU433)</f>
        <v>10.518214481243955</v>
      </c>
      <c r="V433" s="1998">
        <f>IF(Construction!$F$31=Construction!$R$22,Oeko!CI433,Oeko!EV433)</f>
        <v>10.545630417674889</v>
      </c>
      <c r="W433" s="1998">
        <f>IF(Construction!$F$31=Construction!$R$22,Oeko!CJ433,Oeko!EW433)</f>
        <v>10.595892967798267</v>
      </c>
      <c r="X433" s="1979">
        <f>IF(Construction!$F$31=Construction!$R$22,Oeko!CK433,Oeko!EX433)</f>
        <v>8.4117804361814574</v>
      </c>
      <c r="Y433" s="1979">
        <f>IF(Construction!$F$31=Construction!$R$22,Oeko!CL433,Oeko!EY433)</f>
        <v>8.8694531405754375</v>
      </c>
      <c r="Z433" s="1979">
        <f>IF(Construction!$F$31=Construction!$R$22,Oeko!CM433,Oeko!EZ433)</f>
        <v>7.6134096894988135</v>
      </c>
      <c r="AA433" s="1979">
        <f>IF(Construction!$F$31=Construction!$R$22,Oeko!CN433,Oeko!FA433)</f>
        <v>7.6426533550251436</v>
      </c>
      <c r="AB433" s="1979">
        <f>IF(Construction!$F$31=Construction!$R$22,Oeko!CO433,Oeko!FB433)</f>
        <v>7.6962667418234121</v>
      </c>
      <c r="AC433" s="1998">
        <f>IF(Construction!$F$31=Construction!$R$22,Oeko!CP433,Oeko!FC433)</f>
        <v>8.3185491680140782</v>
      </c>
      <c r="AD433" s="1998">
        <f>IF(Construction!$F$31=Construction!$R$22,Oeko!CQ433,Oeko!FD433)</f>
        <v>8.699943088342394</v>
      </c>
      <c r="AE433" s="1998">
        <f>IF(Construction!$F$31=Construction!$R$22,Oeko!CR433,Oeko!FE433)</f>
        <v>7.6532402124452084</v>
      </c>
      <c r="AF433" s="1998">
        <f>IF(Construction!$F$31=Construction!$R$22,Oeko!CS433,Oeko!FF433)</f>
        <v>7.6776099337171493</v>
      </c>
      <c r="AG433" s="1998">
        <f>IF(Construction!$F$31=Construction!$R$22,Oeko!CT433,Oeko!FG433)</f>
        <v>7.7222877560490408</v>
      </c>
      <c r="AH433" s="1979">
        <f>IF(Construction!$F$31=Construction!$R$22,Oeko!CU433,Oeko!FH433)</f>
        <v>11.635309002877278</v>
      </c>
      <c r="AI433" s="1979">
        <f>IF(Construction!$F$31=Construction!$R$22,Oeko!CV433,Oeko!FI433)</f>
        <v>11.781527330508924</v>
      </c>
      <c r="AJ433" s="1979">
        <f>IF(Construction!$F$31=Construction!$R$22,Oeko!CW433,Oeko!FJ433)</f>
        <v>11.9155607975046</v>
      </c>
      <c r="AK433" s="1979">
        <f>IF(Construction!$F$31=Construction!$R$22,Oeko!CX433,Oeko!FK433)</f>
        <v>12.061779125136244</v>
      </c>
      <c r="AL433" s="1979">
        <f>IF(Construction!$F$31=Construction!$R$22,Oeko!CY433,Oeko!FL433)</f>
        <v>12.415140083579383</v>
      </c>
      <c r="AM433" s="1998">
        <f>IF(Construction!$F$31=Construction!$R$22,Oeko!CZ433,Oeko!FM433)</f>
        <v>6.5427562260464507</v>
      </c>
      <c r="AN433" s="1998">
        <f>IF(Construction!$F$31=Construction!$R$22,Oeko!DA433,Oeko!FN433)</f>
        <v>6.7085382220567515</v>
      </c>
      <c r="AO433" s="1998">
        <f>IF(Construction!$F$31=Construction!$R$22,Oeko!DB433,Oeko!FO433)</f>
        <v>7.3449369898595656</v>
      </c>
      <c r="AP433" s="1998">
        <f>IF(Construction!$F$31=Construction!$R$22,Oeko!DC433,Oeko!FP433)</f>
        <v>7.9867512512783687</v>
      </c>
      <c r="AQ433" s="1998">
        <f>IF(Construction!$F$31=Construction!$R$22,Oeko!DD433,Oeko!FQ433)</f>
        <v>8.6285655126971719</v>
      </c>
      <c r="AR433" s="1979">
        <f>IF(Construction!$F$31=Construction!$R$22,Oeko!DE433,Oeko!FR433)</f>
        <v>101.33023064244593</v>
      </c>
      <c r="AS433" s="1979">
        <f>IF(Construction!$F$31=Construction!$R$22,Oeko!DF433,Oeko!FS433)</f>
        <v>102.50712145676059</v>
      </c>
      <c r="AT433" s="1979">
        <f>IF(Construction!$F$31=Construction!$R$22,Oeko!DG433,Oeko!FT433)</f>
        <v>103.58593803654904</v>
      </c>
      <c r="AU433" s="1979">
        <f>IF(Construction!$F$31=Construction!$R$22,Oeko!DH433,Oeko!FU433)</f>
        <v>104.76282885086371</v>
      </c>
      <c r="AV433" s="1979">
        <f>IF(Construction!$F$31=Construction!$R$22,Oeko!DI433,Oeko!FV433)</f>
        <v>107.6069816521242</v>
      </c>
      <c r="AW433" s="1998">
        <f>IF(Construction!$F$31=Construction!$R$22,Oeko!DJ433,Oeko!FW433)</f>
        <v>102.23390875035093</v>
      </c>
      <c r="AX433" s="1998">
        <f>IF(Construction!$F$31=Construction!$R$22,Oeko!DK433,Oeko!FX433)</f>
        <v>103.40846685608771</v>
      </c>
      <c r="AY433" s="1998">
        <f>IF(Construction!$F$31=Construction!$R$22,Oeko!DL433,Oeko!FY433)</f>
        <v>104.48514511967977</v>
      </c>
      <c r="AZ433" s="1998">
        <f>IF(Construction!$F$31=Construction!$R$22,Oeko!DM433,Oeko!FZ433)</f>
        <v>105.65970322541656</v>
      </c>
      <c r="BA433" s="1998">
        <f>IF(Construction!$F$31=Construction!$R$22,Oeko!DN433,Oeko!GA433)</f>
        <v>108.49821864761378</v>
      </c>
      <c r="BB433" s="1979">
        <f>IF(Construction!$F$31=Construction!$R$22,Oeko!DO433,Oeko!GB433)</f>
        <v>6.6931060993886415</v>
      </c>
      <c r="BC433" s="1979">
        <f>IF(Construction!$F$31=Construction!$R$22,Oeko!DP433,Oeko!GC433)</f>
        <v>6.8662099690629299</v>
      </c>
      <c r="BD433" s="1979">
        <f>IF(Construction!$F$31=Construction!$R$22,Oeko!DQ433,Oeko!GD433)</f>
        <v>7.0393138387372201</v>
      </c>
      <c r="BE433" s="1979">
        <f>IF(Construction!$F$31=Construction!$R$22,Oeko!DR433,Oeko!GE433)</f>
        <v>7.2124177084115093</v>
      </c>
      <c r="BF433" s="1979">
        <f>IF(Construction!$F$31=Construction!$R$22,Oeko!DS433,Oeko!GF433)</f>
        <v>7.3855215780857977</v>
      </c>
      <c r="BG433" s="1998">
        <f>IF(Construction!$F$31=Construction!$R$22,Oeko!DT433,Oeko!GG433)</f>
        <v>7.8723212382212369</v>
      </c>
      <c r="BH433" s="1998">
        <f>IF(Construction!$F$31=Construction!$R$22,Oeko!DU433,Oeko!GH433)</f>
        <v>8.0447876695441014</v>
      </c>
      <c r="BI433" s="1998">
        <f>IF(Construction!$F$31=Construction!$R$22,Oeko!DV433,Oeko!GI433)</f>
        <v>8.2172541008669651</v>
      </c>
      <c r="BJ433" s="1998">
        <f>IF(Construction!$F$31=Construction!$R$22,Oeko!DW433,Oeko!GJ433)</f>
        <v>8.3897205321898305</v>
      </c>
      <c r="BK433" s="2026">
        <f>IF(Construction!$F$31=Construction!$R$22,Oeko!DX433,Oeko!GK433)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IF(Construction!$F$31=Construction!$R$22,Oeko!BQ434,Oeko!ED434)</f>
        <v>7.0334104976056659</v>
      </c>
      <c r="E434" s="1979">
        <f>IF(Construction!$F$31=Construction!$R$22,Oeko!BR434,Oeko!EE434)</f>
        <v>7.3016452796712015</v>
      </c>
      <c r="F434" s="1979">
        <f>IF(Construction!$F$31=Construction!$R$22,Oeko!BS434,Oeko!EF434)</f>
        <v>8.0881710735702903</v>
      </c>
      <c r="G434" s="1979">
        <f>IF(Construction!$F$31=Construction!$R$22,Oeko!BT434,Oeko!EG434)</f>
        <v>8.8770661459263724</v>
      </c>
      <c r="H434" s="1979">
        <f>IF(Construction!$F$31=Construction!$R$22,Oeko!BU434,Oeko!EH434)</f>
        <v>9.6659612182824564</v>
      </c>
      <c r="I434" s="1998">
        <f>IF(Construction!$F$31=Construction!$R$22,Oeko!BV434,Oeko!EI434)</f>
        <v>9.3833153845439803</v>
      </c>
      <c r="J434" s="1998">
        <f>IF(Construction!$F$31=Construction!$R$22,Oeko!BW434,Oeko!EJ434)</f>
        <v>9.7607065361919396</v>
      </c>
      <c r="K434" s="1998">
        <f>IF(Construction!$F$31=Construction!$R$22,Oeko!BX434,Oeko!EK434)</f>
        <v>10.661449125788494</v>
      </c>
      <c r="L434" s="1998">
        <f>IF(Construction!$F$31=Construction!$R$22,Oeko!BY434,Oeko!EL434)</f>
        <v>11.574376576021018</v>
      </c>
      <c r="M434" s="1998">
        <f>IF(Construction!$F$31=Construction!$R$22,Oeko!BZ434,Oeko!EM434)</f>
        <v>12.487304026253542</v>
      </c>
      <c r="N434" s="1979">
        <f>IF(Construction!$F$31=Construction!$R$22,Oeko!CA434,Oeko!EN434)</f>
        <v>7.6304964728382814</v>
      </c>
      <c r="O434" s="1979">
        <f>IF(Construction!$F$31=Construction!$R$22,Oeko!CB434,Oeko!EO434)</f>
        <v>8.0663752389277885</v>
      </c>
      <c r="P434" s="1979">
        <f>IF(Construction!$F$31=Construction!$R$22,Oeko!CC434,Oeko!EP434)</f>
        <v>6.8701433807595746</v>
      </c>
      <c r="Q434" s="1979">
        <f>IF(Construction!$F$31=Construction!$R$22,Oeko!CD434,Oeko!EQ434)</f>
        <v>6.89799449078465</v>
      </c>
      <c r="R434" s="1979">
        <f>IF(Construction!$F$31=Construction!$R$22,Oeko!CE434,Oeko!ER434)</f>
        <v>6.9490548591639536</v>
      </c>
      <c r="S434" s="1998">
        <f>IF(Construction!$F$31=Construction!$R$22,Oeko!CF434,Oeko!ES434)</f>
        <v>11.091382052954991</v>
      </c>
      <c r="T434" s="1998">
        <f>IF(Construction!$F$31=Construction!$R$22,Oeko!CG434,Oeko!ET434)</f>
        <v>11.663472933447467</v>
      </c>
      <c r="U434" s="1998">
        <f>IF(Construction!$F$31=Construction!$R$22,Oeko!CH434,Oeko!EU434)</f>
        <v>10.093418619601689</v>
      </c>
      <c r="V434" s="1998">
        <f>IF(Construction!$F$31=Construction!$R$22,Oeko!CI434,Oeko!EV434)</f>
        <v>10.1299732015096</v>
      </c>
      <c r="W434" s="1998">
        <f>IF(Construction!$F$31=Construction!$R$22,Oeko!CJ434,Oeko!EW434)</f>
        <v>10.196989935007439</v>
      </c>
      <c r="X434" s="1979">
        <f>IF(Construction!$F$31=Construction!$R$22,Oeko!CK434,Oeko!EX434)</f>
        <v>8.7281165283615945</v>
      </c>
      <c r="Y434" s="1979">
        <f>IF(Construction!$F$31=Construction!$R$22,Oeko!CL434,Oeko!EY434)</f>
        <v>9.1857892327555746</v>
      </c>
      <c r="Z434" s="1979">
        <f>IF(Construction!$F$31=Construction!$R$22,Oeko!CM434,Oeko!EZ434)</f>
        <v>7.9297457816789523</v>
      </c>
      <c r="AA434" s="1979">
        <f>IF(Construction!$F$31=Construction!$R$22,Oeko!CN434,Oeko!FA434)</f>
        <v>7.9589894472052816</v>
      </c>
      <c r="AB434" s="1979">
        <f>IF(Construction!$F$31=Construction!$R$22,Oeko!CO434,Oeko!FB434)</f>
        <v>8.01260283400355</v>
      </c>
      <c r="AC434" s="1998">
        <f>IF(Construction!$F$31=Construction!$R$22,Oeko!CP434,Oeko!FC434)</f>
        <v>7.5050488035708351</v>
      </c>
      <c r="AD434" s="1998">
        <f>IF(Construction!$F$31=Construction!$R$22,Oeko!CQ434,Oeko!FD434)</f>
        <v>7.8093715347710271</v>
      </c>
      <c r="AE434" s="1998">
        <f>IF(Construction!$F$31=Construction!$R$22,Oeko!CR434,Oeko!FE434)</f>
        <v>7.0426216688020942</v>
      </c>
      <c r="AF434" s="1998">
        <f>IF(Construction!$F$31=Construction!$R$22,Oeko!CS434,Oeko!FF434)</f>
        <v>7.079176250710006</v>
      </c>
      <c r="AG434" s="1998">
        <f>IF(Construction!$F$31=Construction!$R$22,Oeko!CT434,Oeko!FG434)</f>
        <v>7.1461929842078424</v>
      </c>
      <c r="AH434" s="1979">
        <f>IF(Construction!$F$31=Construction!$R$22,Oeko!CU434,Oeko!FH434)</f>
        <v>12.087837302990971</v>
      </c>
      <c r="AI434" s="1979">
        <f>IF(Construction!$F$31=Construction!$R$22,Oeko!CV434,Oeko!FI434)</f>
        <v>12.234055630622617</v>
      </c>
      <c r="AJ434" s="1979">
        <f>IF(Construction!$F$31=Construction!$R$22,Oeko!CW434,Oeko!FJ434)</f>
        <v>12.36808909761829</v>
      </c>
      <c r="AK434" s="1979">
        <f>IF(Construction!$F$31=Construction!$R$22,Oeko!CX434,Oeko!FK434)</f>
        <v>12.514307425249934</v>
      </c>
      <c r="AL434" s="1979">
        <f>IF(Construction!$F$31=Construction!$R$22,Oeko!CY434,Oeko!FL434)</f>
        <v>12.867668383693074</v>
      </c>
      <c r="AM434" s="1998">
        <f>IF(Construction!$F$31=Construction!$R$22,Oeko!CZ434,Oeko!FM434)</f>
        <v>6.7684813293392372</v>
      </c>
      <c r="AN434" s="1998">
        <f>IF(Construction!$F$31=Construction!$R$22,Oeko!DA434,Oeko!FN434)</f>
        <v>6.9675855839281322</v>
      </c>
      <c r="AO434" s="1998">
        <f>IF(Construction!$F$31=Construction!$R$22,Oeko!DB434,Oeko!FO434)</f>
        <v>7.6373066103095422</v>
      </c>
      <c r="AP434" s="1998">
        <f>IF(Construction!$F$31=Construction!$R$22,Oeko!DC434,Oeko!FP434)</f>
        <v>8.3124431303069386</v>
      </c>
      <c r="AQ434" s="1998">
        <f>IF(Construction!$F$31=Construction!$R$22,Oeko!DD434,Oeko!FQ434)</f>
        <v>8.9875796503043368</v>
      </c>
      <c r="AR434" s="1979">
        <f>IF(Construction!$F$31=Construction!$R$22,Oeko!DE434,Oeko!FR434)</f>
        <v>108.76666833238637</v>
      </c>
      <c r="AS434" s="1979">
        <f>IF(Construction!$F$31=Construction!$R$22,Oeko!DF434,Oeko!FS434)</f>
        <v>109.94355914670105</v>
      </c>
      <c r="AT434" s="1979">
        <f>IF(Construction!$F$31=Construction!$R$22,Oeko!DG434,Oeko!FT434)</f>
        <v>111.02237572648951</v>
      </c>
      <c r="AU434" s="1979">
        <f>IF(Construction!$F$31=Construction!$R$22,Oeko!DH434,Oeko!FU434)</f>
        <v>112.1992665408042</v>
      </c>
      <c r="AV434" s="1979">
        <f>IF(Construction!$F$31=Construction!$R$22,Oeko!DI434,Oeko!FV434)</f>
        <v>115.04341934206467</v>
      </c>
      <c r="AW434" s="1998">
        <f>IF(Construction!$F$31=Construction!$R$22,Oeko!DJ434,Oeko!FW434)</f>
        <v>108.54235202413969</v>
      </c>
      <c r="AX434" s="1998">
        <f>IF(Construction!$F$31=Construction!$R$22,Oeko!DK434,Oeko!FX434)</f>
        <v>109.71691012987647</v>
      </c>
      <c r="AY434" s="1998">
        <f>IF(Construction!$F$31=Construction!$R$22,Oeko!DL434,Oeko!FY434)</f>
        <v>110.79358839346854</v>
      </c>
      <c r="AZ434" s="1998">
        <f>IF(Construction!$F$31=Construction!$R$22,Oeko!DM434,Oeko!FZ434)</f>
        <v>111.96814649920532</v>
      </c>
      <c r="BA434" s="1998">
        <f>IF(Construction!$F$31=Construction!$R$22,Oeko!DN434,Oeko!GA434)</f>
        <v>114.80666192140256</v>
      </c>
      <c r="BB434" s="1979">
        <f>IF(Construction!$F$31=Construction!$R$22,Oeko!DO434,Oeko!GB434)</f>
        <v>7.2992727388334924</v>
      </c>
      <c r="BC434" s="1979">
        <f>IF(Construction!$F$31=Construction!$R$22,Oeko!DP434,Oeko!GC434)</f>
        <v>7.4723766085077807</v>
      </c>
      <c r="BD434" s="1979">
        <f>IF(Construction!$F$31=Construction!$R$22,Oeko!DQ434,Oeko!GD434)</f>
        <v>7.6454804781820691</v>
      </c>
      <c r="BE434" s="1979">
        <f>IF(Construction!$F$31=Construction!$R$22,Oeko!DR434,Oeko!GE434)</f>
        <v>7.8185843478563601</v>
      </c>
      <c r="BF434" s="1979">
        <f>IF(Construction!$F$31=Construction!$R$22,Oeko!DS434,Oeko!GF434)</f>
        <v>7.9916882175306467</v>
      </c>
      <c r="BG434" s="1998">
        <f>IF(Construction!$F$31=Construction!$R$22,Oeko!DT434,Oeko!GG434)</f>
        <v>8.2709180010236238</v>
      </c>
      <c r="BH434" s="1998">
        <f>IF(Construction!$F$31=Construction!$R$22,Oeko!DU434,Oeko!GH434)</f>
        <v>8.4433844323464875</v>
      </c>
      <c r="BI434" s="1998">
        <f>IF(Construction!$F$31=Construction!$R$22,Oeko!DV434,Oeko!GI434)</f>
        <v>8.6158508636693529</v>
      </c>
      <c r="BJ434" s="1998">
        <f>IF(Construction!$F$31=Construction!$R$22,Oeko!DW434,Oeko!GJ434)</f>
        <v>8.7883172949922166</v>
      </c>
      <c r="BK434" s="2026">
        <f>IF(Construction!$F$31=Construction!$R$22,Oeko!DX434,Oeko!GK434)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IF(Construction!$F$31=Construction!$R$22,Oeko!BQ435,Oeko!ED435)</f>
        <v>7.0282412022959146</v>
      </c>
      <c r="E435" s="1979">
        <f>IF(Construction!$F$31=Construction!$R$22,Oeko!BR435,Oeko!EE435)</f>
        <v>7.3252069792464702</v>
      </c>
      <c r="F435" s="1979">
        <f>IF(Construction!$F$31=Construction!$R$22,Oeko!BS435,Oeko!EF435)</f>
        <v>8.1191635007275593</v>
      </c>
      <c r="G435" s="1979">
        <f>IF(Construction!$F$31=Construction!$R$22,Oeko!BT435,Oeko!EG435)</f>
        <v>8.9159631563570443</v>
      </c>
      <c r="H435" s="1979">
        <f>IF(Construction!$F$31=Construction!$R$22,Oeko!BU435,Oeko!EH435)</f>
        <v>9.7127628119865275</v>
      </c>
      <c r="I435" s="1998">
        <f>IF(Construction!$F$31=Construction!$R$22,Oeko!BV435,Oeko!EI435)</f>
        <v>9.5266293463868692</v>
      </c>
      <c r="J435" s="1998">
        <f>IF(Construction!$F$31=Construction!$R$22,Oeko!BW435,Oeko!EJ435)</f>
        <v>9.9313590643262071</v>
      </c>
      <c r="K435" s="1998">
        <f>IF(Construction!$F$31=Construction!$R$22,Oeko!BX435,Oeko!EK435)</f>
        <v>10.859440220214141</v>
      </c>
      <c r="L435" s="1998">
        <f>IF(Construction!$F$31=Construction!$R$22,Oeko!BY435,Oeko!EL435)</f>
        <v>11.799706236738047</v>
      </c>
      <c r="M435" s="1998">
        <f>IF(Construction!$F$31=Construction!$R$22,Oeko!BZ435,Oeko!EM435)</f>
        <v>12.739972253261948</v>
      </c>
      <c r="N435" s="1979">
        <f>IF(Construction!$F$31=Construction!$R$22,Oeko!CA435,Oeko!EN435)</f>
        <v>6.4318346115384166</v>
      </c>
      <c r="O435" s="1979">
        <f>IF(Construction!$F$31=Construction!$R$22,Oeko!CB435,Oeko!EO435)</f>
        <v>6.7796320186243522</v>
      </c>
      <c r="P435" s="1979">
        <f>IF(Construction!$F$31=Construction!$R$22,Oeko!CC435,Oeko!EP435)</f>
        <v>5.9033464575169994</v>
      </c>
      <c r="Q435" s="1979">
        <f>IF(Construction!$F$31=Construction!$R$22,Oeko!CD435,Oeko!EQ435)</f>
        <v>5.9451231225546124</v>
      </c>
      <c r="R435" s="1979">
        <f>IF(Construction!$F$31=Construction!$R$22,Oeko!CE435,Oeko!ER435)</f>
        <v>6.0217136751235696</v>
      </c>
      <c r="S435" s="1998">
        <f>IF(Construction!$F$31=Construction!$R$22,Oeko!CF435,Oeko!ES435)</f>
        <v>9.8749710697338084</v>
      </c>
      <c r="T435" s="1998">
        <f>IF(Construction!$F$31=Construction!$R$22,Oeko!CG435,Oeko!ET435)</f>
        <v>10.3314551665341</v>
      </c>
      <c r="U435" s="1998">
        <f>IF(Construction!$F$31=Construction!$R$22,Oeko!CH435,Oeko!EU435)</f>
        <v>9.1813303675806974</v>
      </c>
      <c r="V435" s="1998">
        <f>IF(Construction!$F$31=Construction!$R$22,Oeko!CI435,Oeko!EV435)</f>
        <v>9.2361622404425638</v>
      </c>
      <c r="W435" s="1998">
        <f>IF(Construction!$F$31=Construction!$R$22,Oeko!CJ435,Oeko!EW435)</f>
        <v>9.3366873406893198</v>
      </c>
      <c r="X435" s="1979">
        <f>IF(Construction!$F$31=Construction!$R$22,Oeko!CK435,Oeko!EX435)</f>
        <v>7.6696225439339427</v>
      </c>
      <c r="Y435" s="1979">
        <f>IF(Construction!$F$31=Construction!$R$22,Oeko!CL435,Oeko!EY435)</f>
        <v>8.0348098213741732</v>
      </c>
      <c r="Z435" s="1979">
        <f>IF(Construction!$F$31=Construction!$R$22,Oeko!CM435,Oeko!EZ435)</f>
        <v>7.1147099822114539</v>
      </c>
      <c r="AA435" s="1979">
        <f>IF(Construction!$F$31=Construction!$R$22,Oeko!CN435,Oeko!FA435)</f>
        <v>7.1585754805009474</v>
      </c>
      <c r="AB435" s="1979">
        <f>IF(Construction!$F$31=Construction!$R$22,Oeko!CO435,Oeko!FB435)</f>
        <v>7.2389955606983509</v>
      </c>
      <c r="AC435" s="1998">
        <f>IF(Construction!$F$31=Construction!$R$22,Oeko!CP435,Oeko!FC435)</f>
        <v>7.1150476227660659</v>
      </c>
      <c r="AD435" s="1998">
        <f>IF(Construction!$F$31=Construction!$R$22,Oeko!CQ435,Oeko!FD435)</f>
        <v>7.1881567865818878</v>
      </c>
      <c r="AE435" s="1998">
        <f>IF(Construction!$F$31=Construction!$R$22,Oeko!CR435,Oeko!FE435)</f>
        <v>7.2612659503977115</v>
      </c>
      <c r="AF435" s="1998">
        <f>IF(Construction!$F$31=Construction!$R$22,Oeko!CS435,Oeko!FF435)</f>
        <v>7.3343751142135334</v>
      </c>
      <c r="AG435" s="1998">
        <f>IF(Construction!$F$31=Construction!$R$22,Oeko!CT435,Oeko!FG435)</f>
        <v>7.4684085812092063</v>
      </c>
      <c r="AH435" s="1979">
        <f>IF(Construction!$F$31=Construction!$R$22,Oeko!CU435,Oeko!FH435)</f>
        <v>14.067648615988364</v>
      </c>
      <c r="AI435" s="1979">
        <f>IF(Construction!$F$31=Construction!$R$22,Oeko!CV435,Oeko!FI435)</f>
        <v>14.21386694362001</v>
      </c>
      <c r="AJ435" s="1979">
        <f>IF(Construction!$F$31=Construction!$R$22,Oeko!CW435,Oeko!FJ435)</f>
        <v>14.347900410615681</v>
      </c>
      <c r="AK435" s="1979">
        <f>IF(Construction!$F$31=Construction!$R$22,Oeko!CX435,Oeko!FK435)</f>
        <v>14.494118738247325</v>
      </c>
      <c r="AL435" s="1979">
        <f>IF(Construction!$F$31=Construction!$R$22,Oeko!CY435,Oeko!FL435)</f>
        <v>14.847479696690465</v>
      </c>
      <c r="AM435" s="1998">
        <f>IF(Construction!$F$31=Construction!$R$22,Oeko!CZ435,Oeko!FM435)</f>
        <v>7.060562733496381</v>
      </c>
      <c r="AN435" s="1998">
        <f>IF(Construction!$F$31=Construction!$R$22,Oeko!DA435,Oeko!FN435)</f>
        <v>7.3072702146261275</v>
      </c>
      <c r="AO435" s="1998">
        <f>IF(Construction!$F$31=Construction!$R$22,Oeko!DB435,Oeko!FO435)</f>
        <v>8.024594467548388</v>
      </c>
      <c r="AP435" s="1998">
        <f>IF(Construction!$F$31=Construction!$R$22,Oeko!DC435,Oeko!FP435)</f>
        <v>8.7473342140866333</v>
      </c>
      <c r="AQ435" s="1998">
        <f>IF(Construction!$F$31=Construction!$R$22,Oeko!DD435,Oeko!FQ435)</f>
        <v>9.470073960624882</v>
      </c>
      <c r="AR435" s="1979">
        <f>IF(Construction!$F$31=Construction!$R$22,Oeko!DE435,Oeko!FR435)</f>
        <v>128.10140632623163</v>
      </c>
      <c r="AS435" s="1979">
        <f>IF(Construction!$F$31=Construction!$R$22,Oeko!DF435,Oeko!FS435)</f>
        <v>129.27829714054633</v>
      </c>
      <c r="AT435" s="1979">
        <f>IF(Construction!$F$31=Construction!$R$22,Oeko!DG435,Oeko!FT435)</f>
        <v>130.35711372033478</v>
      </c>
      <c r="AU435" s="1979">
        <f>IF(Construction!$F$31=Construction!$R$22,Oeko!DH435,Oeko!FU435)</f>
        <v>131.53400453464943</v>
      </c>
      <c r="AV435" s="1979">
        <f>IF(Construction!$F$31=Construction!$R$22,Oeko!DI435,Oeko!FV435)</f>
        <v>134.37815733590989</v>
      </c>
      <c r="AW435" s="1998">
        <f>IF(Construction!$F$31=Construction!$R$22,Oeko!DJ435,Oeko!FW435)</f>
        <v>132.19901430084758</v>
      </c>
      <c r="AX435" s="1998">
        <f>IF(Construction!$F$31=Construction!$R$22,Oeko!DK435,Oeko!FX435)</f>
        <v>133.37357240658437</v>
      </c>
      <c r="AY435" s="1998">
        <f>IF(Construction!$F$31=Construction!$R$22,Oeko!DL435,Oeko!FY435)</f>
        <v>134.45025067017642</v>
      </c>
      <c r="AZ435" s="1998">
        <f>IF(Construction!$F$31=Construction!$R$22,Oeko!DM435,Oeko!FZ435)</f>
        <v>135.62480877591318</v>
      </c>
      <c r="BA435" s="1998">
        <f>IF(Construction!$F$31=Construction!$R$22,Oeko!DN435,Oeko!GA435)</f>
        <v>138.46332419811046</v>
      </c>
      <c r="BB435" s="1979">
        <f>IF(Construction!$F$31=Construction!$R$22,Oeko!DO435,Oeko!GB435)</f>
        <v>5.2736297914715493</v>
      </c>
      <c r="BC435" s="1979">
        <f>IF(Construction!$F$31=Construction!$R$22,Oeko!DP435,Oeko!GC435)</f>
        <v>5.6198375308201269</v>
      </c>
      <c r="BD435" s="1979">
        <f>IF(Construction!$F$31=Construction!$R$22,Oeko!DQ435,Oeko!GD435)</f>
        <v>5.9660452701687063</v>
      </c>
      <c r="BE435" s="1979">
        <f>IF(Construction!$F$31=Construction!$R$22,Oeko!DR435,Oeko!GE435)</f>
        <v>6.3122530095172849</v>
      </c>
      <c r="BF435" s="1979">
        <f>IF(Construction!$F$31=Construction!$R$22,Oeko!DS435,Oeko!GF435)</f>
        <v>6.6584607488658616</v>
      </c>
      <c r="BG435" s="1998">
        <f>IF(Construction!$F$31=Construction!$R$22,Oeko!DT435,Oeko!GG435)</f>
        <v>6.8634046413778469</v>
      </c>
      <c r="BH435" s="1998">
        <f>IF(Construction!$F$31=Construction!$R$22,Oeko!DU435,Oeko!GH435)</f>
        <v>7.2083375040235769</v>
      </c>
      <c r="BI435" s="1998">
        <f>IF(Construction!$F$31=Construction!$R$22,Oeko!DV435,Oeko!GI435)</f>
        <v>7.5532703666693068</v>
      </c>
      <c r="BJ435" s="1998">
        <f>IF(Construction!$F$31=Construction!$R$22,Oeko!DW435,Oeko!GJ435)</f>
        <v>7.8982032293150359</v>
      </c>
      <c r="BK435" s="2026">
        <f>IF(Construction!$F$31=Construction!$R$22,Oeko!DX435,Oeko!GK435)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Proportion de fenêtres </v>
      </c>
      <c r="D436" s="1979">
        <f>IF(Construction!$F$31=Construction!$R$22,Oeko!BQ436,Oeko!ED436)</f>
        <v>0</v>
      </c>
      <c r="E436" s="1979">
        <f>IF(Construction!$F$31=Construction!$R$22,Oeko!BR436,Oeko!EE436)</f>
        <v>0</v>
      </c>
      <c r="F436" s="1979">
        <f>IF(Construction!$F$31=Construction!$R$22,Oeko!BS436,Oeko!EF436)</f>
        <v>0</v>
      </c>
      <c r="G436" s="1979">
        <f>IF(Construction!$F$31=Construction!$R$22,Oeko!BT436,Oeko!EG436)</f>
        <v>0</v>
      </c>
      <c r="H436" s="1979">
        <f>IF(Construction!$F$31=Construction!$R$22,Oeko!BU436,Oeko!EH436)</f>
        <v>0</v>
      </c>
      <c r="I436" s="1998">
        <f>IF(Construction!$F$31=Construction!$R$22,Oeko!BV436,Oeko!EI436)</f>
        <v>0</v>
      </c>
      <c r="J436" s="1998">
        <f>IF(Construction!$F$31=Construction!$R$22,Oeko!BW436,Oeko!EJ436)</f>
        <v>0</v>
      </c>
      <c r="K436" s="1998">
        <f>IF(Construction!$F$31=Construction!$R$22,Oeko!BX436,Oeko!EK436)</f>
        <v>0</v>
      </c>
      <c r="L436" s="1998">
        <f>IF(Construction!$F$31=Construction!$R$22,Oeko!BY436,Oeko!EL436)</f>
        <v>0</v>
      </c>
      <c r="M436" s="1998">
        <f>IF(Construction!$F$31=Construction!$R$22,Oeko!BZ436,Oeko!EM436)</f>
        <v>0</v>
      </c>
      <c r="N436" s="1979">
        <f>IF(Construction!$F$31=Construction!$R$22,Oeko!CA436,Oeko!EN436)</f>
        <v>0</v>
      </c>
      <c r="O436" s="1979">
        <f>IF(Construction!$F$31=Construction!$R$22,Oeko!CB436,Oeko!EO436)</f>
        <v>0</v>
      </c>
      <c r="P436" s="1979">
        <f>IF(Construction!$F$31=Construction!$R$22,Oeko!CC436,Oeko!EP436)</f>
        <v>0</v>
      </c>
      <c r="Q436" s="1979">
        <f>IF(Construction!$F$31=Construction!$R$22,Oeko!CD436,Oeko!EQ436)</f>
        <v>0</v>
      </c>
      <c r="R436" s="1979">
        <f>IF(Construction!$F$31=Construction!$R$22,Oeko!CE436,Oeko!ER436)</f>
        <v>0</v>
      </c>
      <c r="S436" s="1998">
        <f>IF(Construction!$F$31=Construction!$R$22,Oeko!CF436,Oeko!ES436)</f>
        <v>0</v>
      </c>
      <c r="T436" s="1998">
        <f>IF(Construction!$F$31=Construction!$R$22,Oeko!CG436,Oeko!ET436)</f>
        <v>0</v>
      </c>
      <c r="U436" s="1998">
        <f>IF(Construction!$F$31=Construction!$R$22,Oeko!CH436,Oeko!EU436)</f>
        <v>0</v>
      </c>
      <c r="V436" s="1998">
        <f>IF(Construction!$F$31=Construction!$R$22,Oeko!CI436,Oeko!EV436)</f>
        <v>0</v>
      </c>
      <c r="W436" s="1998">
        <f>IF(Construction!$F$31=Construction!$R$22,Oeko!CJ436,Oeko!EW436)</f>
        <v>0</v>
      </c>
      <c r="X436" s="1979">
        <f>IF(Construction!$F$31=Construction!$R$22,Oeko!CK436,Oeko!EX436)</f>
        <v>9.6058470315434565</v>
      </c>
      <c r="Y436" s="1979">
        <f>IF(Construction!$F$31=Construction!$R$22,Oeko!CL436,Oeko!EY436)</f>
        <v>10.156005162891185</v>
      </c>
      <c r="Z436" s="1979">
        <f>IF(Construction!$F$31=Construction!$R$22,Oeko!CM436,Oeko!EZ436)</f>
        <v>8.5640180999006592</v>
      </c>
      <c r="AA436" s="1979">
        <f>IF(Construction!$F$31=Construction!$R$22,Oeko!CN436,Oeko!FA436)</f>
        <v>8.5786399326638243</v>
      </c>
      <c r="AB436" s="1979">
        <f>IF(Construction!$F$31=Construction!$R$22,Oeko!CO436,Oeko!FB436)</f>
        <v>8.6054466260629585</v>
      </c>
      <c r="AC436" s="1998">
        <f>IF(Construction!$F$31=Construction!$R$22,Oeko!CP436,Oeko!FC436)</f>
        <v>0</v>
      </c>
      <c r="AD436" s="1998">
        <f>IF(Construction!$F$31=Construction!$R$22,Oeko!CQ436,Oeko!FD436)</f>
        <v>0</v>
      </c>
      <c r="AE436" s="1998">
        <f>IF(Construction!$F$31=Construction!$R$22,Oeko!CR436,Oeko!FE436)</f>
        <v>0</v>
      </c>
      <c r="AF436" s="1998">
        <f>IF(Construction!$F$31=Construction!$R$22,Oeko!CS436,Oeko!FF436)</f>
        <v>0</v>
      </c>
      <c r="AG436" s="1998">
        <f>IF(Construction!$F$31=Construction!$R$22,Oeko!CT436,Oeko!FG436)</f>
        <v>0</v>
      </c>
      <c r="AH436" s="1979">
        <f>IF(Construction!$F$31=Construction!$R$22,Oeko!CU436,Oeko!FH436)</f>
        <v>14.746441066158898</v>
      </c>
      <c r="AI436" s="1979">
        <f>IF(Construction!$F$31=Construction!$R$22,Oeko!CV436,Oeko!FI436)</f>
        <v>14.892659393790542</v>
      </c>
      <c r="AJ436" s="1979">
        <f>IF(Construction!$F$31=Construction!$R$22,Oeko!CW436,Oeko!FJ436)</f>
        <v>15.026692860786216</v>
      </c>
      <c r="AK436" s="1979">
        <f>IF(Construction!$F$31=Construction!$R$22,Oeko!CX436,Oeko!FK436)</f>
        <v>15.17291118841786</v>
      </c>
      <c r="AL436" s="1979">
        <f>IF(Construction!$F$31=Construction!$R$22,Oeko!CY436,Oeko!FL436)</f>
        <v>15.526272146861002</v>
      </c>
      <c r="AM436" s="1998">
        <f>IF(Construction!$F$31=Construction!$R$22,Oeko!CZ436,Oeko!FM436)</f>
        <v>7.0689040167605617</v>
      </c>
      <c r="AN436" s="1998">
        <f>IF(Construction!$F$31=Construction!$R$22,Oeko!DA436,Oeko!FN436)</f>
        <v>7.2598850309254788</v>
      </c>
      <c r="AO436" s="1998">
        <f>IF(Construction!$F$31=Construction!$R$22,Oeko!DB436,Oeko!FO436)</f>
        <v>7.9823407234629675</v>
      </c>
      <c r="AP436" s="1998">
        <f>IF(Construction!$F$31=Construction!$R$22,Oeko!DC436,Oeko!FP436)</f>
        <v>8.7088580362124457</v>
      </c>
      <c r="AQ436" s="1998">
        <f>IF(Construction!$F$31=Construction!$R$22,Oeko!DD436,Oeko!FQ436)</f>
        <v>9.4353753489619248</v>
      </c>
      <c r="AR436" s="1979">
        <f>IF(Construction!$F$31=Construction!$R$22,Oeko!DE436,Oeko!FR436)</f>
        <v>90.919217876529231</v>
      </c>
      <c r="AS436" s="1979">
        <f>IF(Construction!$F$31=Construction!$R$22,Oeko!DF436,Oeko!FS436)</f>
        <v>92.096108690843906</v>
      </c>
      <c r="AT436" s="1979">
        <f>IF(Construction!$F$31=Construction!$R$22,Oeko!DG436,Oeko!FT436)</f>
        <v>93.174925270632372</v>
      </c>
      <c r="AU436" s="1979">
        <f>IF(Construction!$F$31=Construction!$R$22,Oeko!DH436,Oeko!FU436)</f>
        <v>94.35181608494706</v>
      </c>
      <c r="AV436" s="1979">
        <f>IF(Construction!$F$31=Construction!$R$22,Oeko!DI436,Oeko!FV436)</f>
        <v>97.19596888620751</v>
      </c>
      <c r="AW436" s="1998">
        <f>IF(Construction!$F$31=Construction!$R$22,Oeko!DJ436,Oeko!FW436)</f>
        <v>92.288454813612518</v>
      </c>
      <c r="AX436" s="1998">
        <f>IF(Construction!$F$31=Construction!$R$22,Oeko!DK436,Oeko!FX436)</f>
        <v>93.463012919349296</v>
      </c>
      <c r="AY436" s="1998">
        <f>IF(Construction!$F$31=Construction!$R$22,Oeko!DL436,Oeko!FY436)</f>
        <v>94.53969118294134</v>
      </c>
      <c r="AZ436" s="1998">
        <f>IF(Construction!$F$31=Construction!$R$22,Oeko!DM436,Oeko!FZ436)</f>
        <v>95.714249288678133</v>
      </c>
      <c r="BA436" s="1998">
        <f>IF(Construction!$F$31=Construction!$R$22,Oeko!DN436,Oeko!GA436)</f>
        <v>98.552764710875365</v>
      </c>
      <c r="BB436" s="1979">
        <f>IF(Construction!$F$31=Construction!$R$22,Oeko!DO436,Oeko!GB436)</f>
        <v>6.8722774021937907</v>
      </c>
      <c r="BC436" s="1979">
        <f>IF(Construction!$F$31=Construction!$R$22,Oeko!DP436,Oeko!GC436)</f>
        <v>7.2184851415423692</v>
      </c>
      <c r="BD436" s="1979">
        <f>IF(Construction!$F$31=Construction!$R$22,Oeko!DQ436,Oeko!GD436)</f>
        <v>7.5646928808909486</v>
      </c>
      <c r="BE436" s="1979">
        <f>IF(Construction!$F$31=Construction!$R$22,Oeko!DR436,Oeko!GE436)</f>
        <v>7.9109006202395262</v>
      </c>
      <c r="BF436" s="1979">
        <f>IF(Construction!$F$31=Construction!$R$22,Oeko!DS436,Oeko!GF436)</f>
        <v>8.2571083595881021</v>
      </c>
      <c r="BG436" s="1998">
        <f>IF(Construction!$F$31=Construction!$R$22,Oeko!DT436,Oeko!GG436)</f>
        <v>9.3274573568835066</v>
      </c>
      <c r="BH436" s="1998">
        <f>IF(Construction!$F$31=Construction!$R$22,Oeko!DU436,Oeko!GH436)</f>
        <v>9.6723902195292357</v>
      </c>
      <c r="BI436" s="1998">
        <f>IF(Construction!$F$31=Construction!$R$22,Oeko!DV436,Oeko!GI436)</f>
        <v>10.017323082174968</v>
      </c>
      <c r="BJ436" s="1998">
        <f>IF(Construction!$F$31=Construction!$R$22,Oeko!DW436,Oeko!GJ436)</f>
        <v>10.362255944820697</v>
      </c>
      <c r="BK436" s="2026">
        <f>IF(Construction!$F$31=Construction!$R$22,Oeko!DX436,Oeko!GK436)</f>
        <v>10.707188807466427</v>
      </c>
      <c r="BN436" s="2022"/>
      <c r="BO436" s="2">
        <v>13</v>
      </c>
      <c r="BP436" s="2" t="str">
        <f>CONCATENATE($U$8," ",GV$7)</f>
        <v xml:space="preserve">Proportion de fenêtres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Proportion de fenêtres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Proportion de fenêtres </v>
      </c>
      <c r="D437" s="1979">
        <f>IF(Construction!$F$31=Construction!$R$22,Oeko!BQ437,Oeko!ED437)</f>
        <v>0</v>
      </c>
      <c r="E437" s="1979">
        <f>IF(Construction!$F$31=Construction!$R$22,Oeko!BR437,Oeko!EE437)</f>
        <v>0</v>
      </c>
      <c r="F437" s="1979">
        <f>IF(Construction!$F$31=Construction!$R$22,Oeko!BS437,Oeko!EF437)</f>
        <v>0</v>
      </c>
      <c r="G437" s="1979">
        <f>IF(Construction!$F$31=Construction!$R$22,Oeko!BT437,Oeko!EG437)</f>
        <v>0</v>
      </c>
      <c r="H437" s="1979">
        <f>IF(Construction!$F$31=Construction!$R$22,Oeko!BU437,Oeko!EH437)</f>
        <v>0</v>
      </c>
      <c r="I437" s="1998">
        <f>IF(Construction!$F$31=Construction!$R$22,Oeko!BV437,Oeko!EI437)</f>
        <v>0</v>
      </c>
      <c r="J437" s="1998">
        <f>IF(Construction!$F$31=Construction!$R$22,Oeko!BW437,Oeko!EJ437)</f>
        <v>0</v>
      </c>
      <c r="K437" s="1998">
        <f>IF(Construction!$F$31=Construction!$R$22,Oeko!BX437,Oeko!EK437)</f>
        <v>0</v>
      </c>
      <c r="L437" s="1998">
        <f>IF(Construction!$F$31=Construction!$R$22,Oeko!BY437,Oeko!EL437)</f>
        <v>0</v>
      </c>
      <c r="M437" s="1998">
        <f>IF(Construction!$F$31=Construction!$R$22,Oeko!BZ437,Oeko!EM437)</f>
        <v>0</v>
      </c>
      <c r="N437" s="1979">
        <f>IF(Construction!$F$31=Construction!$R$22,Oeko!CA437,Oeko!EN437)</f>
        <v>0</v>
      </c>
      <c r="O437" s="1979">
        <f>IF(Construction!$F$31=Construction!$R$22,Oeko!CB437,Oeko!EO437)</f>
        <v>0</v>
      </c>
      <c r="P437" s="1979">
        <f>IF(Construction!$F$31=Construction!$R$22,Oeko!CC437,Oeko!EP437)</f>
        <v>0</v>
      </c>
      <c r="Q437" s="1979">
        <f>IF(Construction!$F$31=Construction!$R$22,Oeko!CD437,Oeko!EQ437)</f>
        <v>0</v>
      </c>
      <c r="R437" s="1979">
        <f>IF(Construction!$F$31=Construction!$R$22,Oeko!CE437,Oeko!ER437)</f>
        <v>0</v>
      </c>
      <c r="S437" s="1998">
        <f>IF(Construction!$F$31=Construction!$R$22,Oeko!CF437,Oeko!ES437)</f>
        <v>0</v>
      </c>
      <c r="T437" s="1998">
        <f>IF(Construction!$F$31=Construction!$R$22,Oeko!CG437,Oeko!ET437)</f>
        <v>0</v>
      </c>
      <c r="U437" s="1998">
        <f>IF(Construction!$F$31=Construction!$R$22,Oeko!CH437,Oeko!EU437)</f>
        <v>0</v>
      </c>
      <c r="V437" s="1998">
        <f>IF(Construction!$F$31=Construction!$R$22,Oeko!CI437,Oeko!EV437)</f>
        <v>0</v>
      </c>
      <c r="W437" s="1998">
        <f>IF(Construction!$F$31=Construction!$R$22,Oeko!CJ437,Oeko!EW437)</f>
        <v>0</v>
      </c>
      <c r="X437" s="1979">
        <f>IF(Construction!$F$31=Construction!$R$22,Oeko!CK437,Oeko!EX437)</f>
        <v>9.3455476185495137</v>
      </c>
      <c r="Y437" s="1979">
        <f>IF(Construction!$F$31=Construction!$R$22,Oeko!CL437,Oeko!EY437)</f>
        <v>9.8957057498972425</v>
      </c>
      <c r="Z437" s="1979">
        <f>IF(Construction!$F$31=Construction!$R$22,Oeko!CM437,Oeko!EZ437)</f>
        <v>8.3037186869067146</v>
      </c>
      <c r="AA437" s="1979">
        <f>IF(Construction!$F$31=Construction!$R$22,Oeko!CN437,Oeko!FA437)</f>
        <v>8.3183405196698796</v>
      </c>
      <c r="AB437" s="1979">
        <f>IF(Construction!$F$31=Construction!$R$22,Oeko!CO437,Oeko!FB437)</f>
        <v>8.3451472130690156</v>
      </c>
      <c r="AC437" s="1998">
        <f>IF(Construction!$F$31=Construction!$R$22,Oeko!CP437,Oeko!FC437)</f>
        <v>0</v>
      </c>
      <c r="AD437" s="1998">
        <f>IF(Construction!$F$31=Construction!$R$22,Oeko!CQ437,Oeko!FD437)</f>
        <v>0</v>
      </c>
      <c r="AE437" s="1998">
        <f>IF(Construction!$F$31=Construction!$R$22,Oeko!CR437,Oeko!FE437)</f>
        <v>0</v>
      </c>
      <c r="AF437" s="1998">
        <f>IF(Construction!$F$31=Construction!$R$22,Oeko!CS437,Oeko!FF437)</f>
        <v>0</v>
      </c>
      <c r="AG437" s="1998">
        <f>IF(Construction!$F$31=Construction!$R$22,Oeko!CT437,Oeko!FG437)</f>
        <v>0</v>
      </c>
      <c r="AH437" s="1979">
        <f>IF(Construction!$F$31=Construction!$R$22,Oeko!CU437,Oeko!FH437)</f>
        <v>14.124214653502573</v>
      </c>
      <c r="AI437" s="1979">
        <f>IF(Construction!$F$31=Construction!$R$22,Oeko!CV437,Oeko!FI437)</f>
        <v>14.270432981134217</v>
      </c>
      <c r="AJ437" s="1979">
        <f>IF(Construction!$F$31=Construction!$R$22,Oeko!CW437,Oeko!FJ437)</f>
        <v>14.404466448129893</v>
      </c>
      <c r="AK437" s="1979">
        <f>IF(Construction!$F$31=Construction!$R$22,Oeko!CX437,Oeko!FK437)</f>
        <v>14.550684775761535</v>
      </c>
      <c r="AL437" s="1979">
        <f>IF(Construction!$F$31=Construction!$R$22,Oeko!CY437,Oeko!FL437)</f>
        <v>14.904045734204677</v>
      </c>
      <c r="AM437" s="1998">
        <f>IF(Construction!$F$31=Construction!$R$22,Oeko!CZ437,Oeko!FM437)</f>
        <v>6.981563209573511</v>
      </c>
      <c r="AN437" s="1998">
        <f>IF(Construction!$F$31=Construction!$R$22,Oeko!DA437,Oeko!FN437)</f>
        <v>7.1558830944491287</v>
      </c>
      <c r="AO437" s="1998">
        <f>IF(Construction!$F$31=Construction!$R$22,Oeko!DB437,Oeko!FO437)</f>
        <v>7.8616776576973209</v>
      </c>
      <c r="AP437" s="1998">
        <f>IF(Construction!$F$31=Construction!$R$22,Oeko!DC437,Oeko!FP437)</f>
        <v>8.5715338411575033</v>
      </c>
      <c r="AQ437" s="1998">
        <f>IF(Construction!$F$31=Construction!$R$22,Oeko!DD437,Oeko!FQ437)</f>
        <v>9.2813900246176857</v>
      </c>
      <c r="AR437" s="1979">
        <f>IF(Construction!$F$31=Construction!$R$22,Oeko!DE437,Oeko!FR437)</f>
        <v>88.688286569547103</v>
      </c>
      <c r="AS437" s="1979">
        <f>IF(Construction!$F$31=Construction!$R$22,Oeko!DF437,Oeko!FS437)</f>
        <v>89.865177383861777</v>
      </c>
      <c r="AT437" s="1979">
        <f>IF(Construction!$F$31=Construction!$R$22,Oeko!DG437,Oeko!FT437)</f>
        <v>90.943993963650243</v>
      </c>
      <c r="AU437" s="1979">
        <f>IF(Construction!$F$31=Construction!$R$22,Oeko!DH437,Oeko!FU437)</f>
        <v>92.120884777964903</v>
      </c>
      <c r="AV437" s="1979">
        <f>IF(Construction!$F$31=Construction!$R$22,Oeko!DI437,Oeko!FV437)</f>
        <v>94.965037579225381</v>
      </c>
      <c r="AW437" s="1998">
        <f>IF(Construction!$F$31=Construction!$R$22,Oeko!DJ437,Oeko!FW437)</f>
        <v>89.971067488547249</v>
      </c>
      <c r="AX437" s="1998">
        <f>IF(Construction!$F$31=Construction!$R$22,Oeko!DK437,Oeko!FX437)</f>
        <v>91.145625594284041</v>
      </c>
      <c r="AY437" s="1998">
        <f>IF(Construction!$F$31=Construction!$R$22,Oeko!DL437,Oeko!FY437)</f>
        <v>92.222303857876071</v>
      </c>
      <c r="AZ437" s="1998">
        <f>IF(Construction!$F$31=Construction!$R$22,Oeko!DM437,Oeko!FZ437)</f>
        <v>93.396861963612864</v>
      </c>
      <c r="BA437" s="1998">
        <f>IF(Construction!$F$31=Construction!$R$22,Oeko!DN437,Oeko!GA437)</f>
        <v>96.235377385810096</v>
      </c>
      <c r="BB437" s="1979">
        <f>IF(Construction!$F$31=Construction!$R$22,Oeko!DO437,Oeko!GB437)</f>
        <v>6.6148897214449009</v>
      </c>
      <c r="BC437" s="1979">
        <f>IF(Construction!$F$31=Construction!$R$22,Oeko!DP437,Oeko!GC437)</f>
        <v>6.9610974607934795</v>
      </c>
      <c r="BD437" s="1979">
        <f>IF(Construction!$F$31=Construction!$R$22,Oeko!DQ437,Oeko!GD437)</f>
        <v>7.307305200142058</v>
      </c>
      <c r="BE437" s="1979">
        <f>IF(Construction!$F$31=Construction!$R$22,Oeko!DR437,Oeko!GE437)</f>
        <v>7.6535129394906365</v>
      </c>
      <c r="BF437" s="1979">
        <f>IF(Construction!$F$31=Construction!$R$22,Oeko!DS437,Oeko!GF437)</f>
        <v>7.9997206788392123</v>
      </c>
      <c r="BG437" s="1998">
        <f>IF(Construction!$F$31=Construction!$R$22,Oeko!DT437,Oeko!GG437)</f>
        <v>8.8346468137823759</v>
      </c>
      <c r="BH437" s="1998">
        <f>IF(Construction!$F$31=Construction!$R$22,Oeko!DU437,Oeko!GH437)</f>
        <v>9.179579676428105</v>
      </c>
      <c r="BI437" s="1998">
        <f>IF(Construction!$F$31=Construction!$R$22,Oeko!DV437,Oeko!GI437)</f>
        <v>9.5245125390738359</v>
      </c>
      <c r="BJ437" s="1998">
        <f>IF(Construction!$F$31=Construction!$R$22,Oeko!DW437,Oeko!GJ437)</f>
        <v>9.869445401719565</v>
      </c>
      <c r="BK437" s="2026">
        <f>IF(Construction!$F$31=Construction!$R$22,Oeko!DX437,Oeko!GK437)</f>
        <v>10.214378264365294</v>
      </c>
      <c r="BN437" s="2022"/>
      <c r="BO437" s="2">
        <v>14</v>
      </c>
      <c r="BP437" s="2" t="str">
        <f>CONCATENATE($U$8," ",GV$8)</f>
        <v xml:space="preserve">Proportion de fenêtres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Proportion de fenêtres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Proportion de fenêtres </v>
      </c>
      <c r="D438" s="1979">
        <f>IF(Construction!$F$31=Construction!$R$22,Oeko!BQ438,Oeko!ED438)</f>
        <v>0</v>
      </c>
      <c r="E438" s="1979">
        <f>IF(Construction!$F$31=Construction!$R$22,Oeko!BR438,Oeko!EE438)</f>
        <v>0</v>
      </c>
      <c r="F438" s="1979">
        <f>IF(Construction!$F$31=Construction!$R$22,Oeko!BS438,Oeko!EF438)</f>
        <v>0</v>
      </c>
      <c r="G438" s="1979">
        <f>IF(Construction!$F$31=Construction!$R$22,Oeko!BT438,Oeko!EG438)</f>
        <v>0</v>
      </c>
      <c r="H438" s="1979">
        <f>IF(Construction!$F$31=Construction!$R$22,Oeko!BU438,Oeko!EH438)</f>
        <v>0</v>
      </c>
      <c r="I438" s="1998">
        <f>IF(Construction!$F$31=Construction!$R$22,Oeko!BV438,Oeko!EI438)</f>
        <v>0</v>
      </c>
      <c r="J438" s="1998">
        <f>IF(Construction!$F$31=Construction!$R$22,Oeko!BW438,Oeko!EJ438)</f>
        <v>0</v>
      </c>
      <c r="K438" s="1998">
        <f>IF(Construction!$F$31=Construction!$R$22,Oeko!BX438,Oeko!EK438)</f>
        <v>0</v>
      </c>
      <c r="L438" s="1998">
        <f>IF(Construction!$F$31=Construction!$R$22,Oeko!BY438,Oeko!EL438)</f>
        <v>0</v>
      </c>
      <c r="M438" s="1998">
        <f>IF(Construction!$F$31=Construction!$R$22,Oeko!BZ438,Oeko!EM438)</f>
        <v>0</v>
      </c>
      <c r="N438" s="1979">
        <f>IF(Construction!$F$31=Construction!$R$22,Oeko!CA438,Oeko!EN438)</f>
        <v>0</v>
      </c>
      <c r="O438" s="1979">
        <f>IF(Construction!$F$31=Construction!$R$22,Oeko!CB438,Oeko!EO438)</f>
        <v>0</v>
      </c>
      <c r="P438" s="1979">
        <f>IF(Construction!$F$31=Construction!$R$22,Oeko!CC438,Oeko!EP438)</f>
        <v>0</v>
      </c>
      <c r="Q438" s="1979">
        <f>IF(Construction!$F$31=Construction!$R$22,Oeko!CD438,Oeko!EQ438)</f>
        <v>0</v>
      </c>
      <c r="R438" s="1979">
        <f>IF(Construction!$F$31=Construction!$R$22,Oeko!CE438,Oeko!ER438)</f>
        <v>0</v>
      </c>
      <c r="S438" s="1998">
        <f>IF(Construction!$F$31=Construction!$R$22,Oeko!CF438,Oeko!ES438)</f>
        <v>0</v>
      </c>
      <c r="T438" s="1998">
        <f>IF(Construction!$F$31=Construction!$R$22,Oeko!CG438,Oeko!ET438)</f>
        <v>0</v>
      </c>
      <c r="U438" s="1998">
        <f>IF(Construction!$F$31=Construction!$R$22,Oeko!CH438,Oeko!EU438)</f>
        <v>0</v>
      </c>
      <c r="V438" s="1998">
        <f>IF(Construction!$F$31=Construction!$R$22,Oeko!CI438,Oeko!EV438)</f>
        <v>0</v>
      </c>
      <c r="W438" s="1998">
        <f>IF(Construction!$F$31=Construction!$R$22,Oeko!CJ438,Oeko!EW438)</f>
        <v>0</v>
      </c>
      <c r="X438" s="1979">
        <f>IF(Construction!$F$31=Construction!$R$22,Oeko!CK438,Oeko!EX438)</f>
        <v>9.085248205555569</v>
      </c>
      <c r="Y438" s="1979">
        <f>IF(Construction!$F$31=Construction!$R$22,Oeko!CL438,Oeko!EY438)</f>
        <v>9.6354063369032978</v>
      </c>
      <c r="Z438" s="1979">
        <f>IF(Construction!$F$31=Construction!$R$22,Oeko!CM438,Oeko!EZ438)</f>
        <v>8.0434192739127734</v>
      </c>
      <c r="AA438" s="1979">
        <f>IF(Construction!$F$31=Construction!$R$22,Oeko!CN438,Oeko!FA438)</f>
        <v>8.0580411066759368</v>
      </c>
      <c r="AB438" s="1979">
        <f>IF(Construction!$F$31=Construction!$R$22,Oeko!CO438,Oeko!FB438)</f>
        <v>8.084847800075071</v>
      </c>
      <c r="AC438" s="1998">
        <f>IF(Construction!$F$31=Construction!$R$22,Oeko!CP438,Oeko!FC438)</f>
        <v>0</v>
      </c>
      <c r="AD438" s="1998">
        <f>IF(Construction!$F$31=Construction!$R$22,Oeko!CQ438,Oeko!FD438)</f>
        <v>0</v>
      </c>
      <c r="AE438" s="1998">
        <f>IF(Construction!$F$31=Construction!$R$22,Oeko!CR438,Oeko!FE438)</f>
        <v>0</v>
      </c>
      <c r="AF438" s="1998">
        <f>IF(Construction!$F$31=Construction!$R$22,Oeko!CS438,Oeko!FF438)</f>
        <v>0</v>
      </c>
      <c r="AG438" s="1998">
        <f>IF(Construction!$F$31=Construction!$R$22,Oeko!CT438,Oeko!FG438)</f>
        <v>0</v>
      </c>
      <c r="AH438" s="1979">
        <f>IF(Construction!$F$31=Construction!$R$22,Oeko!CU438,Oeko!FH438)</f>
        <v>13.50198824084625</v>
      </c>
      <c r="AI438" s="1979">
        <f>IF(Construction!$F$31=Construction!$R$22,Oeko!CV438,Oeko!FI438)</f>
        <v>13.648206568477894</v>
      </c>
      <c r="AJ438" s="1979">
        <f>IF(Construction!$F$31=Construction!$R$22,Oeko!CW438,Oeko!FJ438)</f>
        <v>13.782240035473571</v>
      </c>
      <c r="AK438" s="1979">
        <f>IF(Construction!$F$31=Construction!$R$22,Oeko!CX438,Oeko!FK438)</f>
        <v>13.928458363105213</v>
      </c>
      <c r="AL438" s="1979">
        <f>IF(Construction!$F$31=Construction!$R$22,Oeko!CY438,Oeko!FL438)</f>
        <v>14.281819321548355</v>
      </c>
      <c r="AM438" s="1998">
        <f>IF(Construction!$F$31=Construction!$R$22,Oeko!CZ438,Oeko!FM438)</f>
        <v>6.8942224023864584</v>
      </c>
      <c r="AN438" s="1998">
        <f>IF(Construction!$F$31=Construction!$R$22,Oeko!DA438,Oeko!FN438)</f>
        <v>7.0518811579727805</v>
      </c>
      <c r="AO438" s="1998">
        <f>IF(Construction!$F$31=Construction!$R$22,Oeko!DB438,Oeko!FO438)</f>
        <v>7.7410145919316742</v>
      </c>
      <c r="AP438" s="1998">
        <f>IF(Construction!$F$31=Construction!$R$22,Oeko!DC438,Oeko!FP438)</f>
        <v>8.4342096461025591</v>
      </c>
      <c r="AQ438" s="1998">
        <f>IF(Construction!$F$31=Construction!$R$22,Oeko!DD438,Oeko!FQ438)</f>
        <v>9.1274047002734449</v>
      </c>
      <c r="AR438" s="1979">
        <f>IF(Construction!$F$31=Construction!$R$22,Oeko!DE438,Oeko!FR438)</f>
        <v>86.45735526256496</v>
      </c>
      <c r="AS438" s="1979">
        <f>IF(Construction!$F$31=Construction!$R$22,Oeko!DF438,Oeko!FS438)</f>
        <v>87.634246076879634</v>
      </c>
      <c r="AT438" s="1979">
        <f>IF(Construction!$F$31=Construction!$R$22,Oeko!DG438,Oeko!FT438)</f>
        <v>88.713062656668086</v>
      </c>
      <c r="AU438" s="1979">
        <f>IF(Construction!$F$31=Construction!$R$22,Oeko!DH438,Oeko!FU438)</f>
        <v>89.889953470982761</v>
      </c>
      <c r="AV438" s="1979">
        <f>IF(Construction!$F$31=Construction!$R$22,Oeko!DI438,Oeko!FV438)</f>
        <v>92.734106272243224</v>
      </c>
      <c r="AW438" s="1998">
        <f>IF(Construction!$F$31=Construction!$R$22,Oeko!DJ438,Oeko!FW438)</f>
        <v>87.653680163481994</v>
      </c>
      <c r="AX438" s="1998">
        <f>IF(Construction!$F$31=Construction!$R$22,Oeko!DK438,Oeko!FX438)</f>
        <v>88.828238269218787</v>
      </c>
      <c r="AY438" s="1998">
        <f>IF(Construction!$F$31=Construction!$R$22,Oeko!DL438,Oeko!FY438)</f>
        <v>89.904916532810816</v>
      </c>
      <c r="AZ438" s="1998">
        <f>IF(Construction!$F$31=Construction!$R$22,Oeko!DM438,Oeko!FZ438)</f>
        <v>91.079474638547609</v>
      </c>
      <c r="BA438" s="1998">
        <f>IF(Construction!$F$31=Construction!$R$22,Oeko!DN438,Oeko!GA438)</f>
        <v>93.917990060744842</v>
      </c>
      <c r="BB438" s="1979">
        <f>IF(Construction!$F$31=Construction!$R$22,Oeko!DO438,Oeko!GB438)</f>
        <v>6.3575020406960094</v>
      </c>
      <c r="BC438" s="1979">
        <f>IF(Construction!$F$31=Construction!$R$22,Oeko!DP438,Oeko!GC438)</f>
        <v>6.703709780044588</v>
      </c>
      <c r="BD438" s="1979">
        <f>IF(Construction!$F$31=Construction!$R$22,Oeko!DQ438,Oeko!GD438)</f>
        <v>7.0499175193931674</v>
      </c>
      <c r="BE438" s="1979">
        <f>IF(Construction!$F$31=Construction!$R$22,Oeko!DR438,Oeko!GE438)</f>
        <v>7.3961252587417459</v>
      </c>
      <c r="BF438" s="1979">
        <f>IF(Construction!$F$31=Construction!$R$22,Oeko!DS438,Oeko!GF438)</f>
        <v>7.7423329980903244</v>
      </c>
      <c r="BG438" s="1998">
        <f>IF(Construction!$F$31=Construction!$R$22,Oeko!DT438,Oeko!GG438)</f>
        <v>8.3418362706812434</v>
      </c>
      <c r="BH438" s="1998">
        <f>IF(Construction!$F$31=Construction!$R$22,Oeko!DU438,Oeko!GH438)</f>
        <v>8.6867691333269725</v>
      </c>
      <c r="BI438" s="1998">
        <f>IF(Construction!$F$31=Construction!$R$22,Oeko!DV438,Oeko!GI438)</f>
        <v>9.0317019959727016</v>
      </c>
      <c r="BJ438" s="1998">
        <f>IF(Construction!$F$31=Construction!$R$22,Oeko!DW438,Oeko!GJ438)</f>
        <v>9.3766348586184325</v>
      </c>
      <c r="BK438" s="2026">
        <f>IF(Construction!$F$31=Construction!$R$22,Oeko!DX438,Oeko!GK438)</f>
        <v>9.7215677212641616</v>
      </c>
      <c r="BN438" s="2022"/>
      <c r="BO438" s="2">
        <v>15</v>
      </c>
      <c r="BP438" s="2" t="str">
        <f>CONCATENATE($U$8," ",GV$9)</f>
        <v xml:space="preserve">Proportion de fenêtres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Proportion de fenêtres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Proportion de fenêtres </v>
      </c>
      <c r="D439" s="1979">
        <f>IF(Construction!$F$31=Construction!$R$22,Oeko!BQ439,Oeko!ED439)</f>
        <v>7.2120126019544069</v>
      </c>
      <c r="E439" s="1979">
        <f>IF(Construction!$F$31=Construction!$R$22,Oeko!BR439,Oeko!EE439)</f>
        <v>7.4904133327563276</v>
      </c>
      <c r="F439" s="1979">
        <f>IF(Construction!$F$31=Construction!$R$22,Oeko!BS439,Oeko!EF439)</f>
        <v>8.3023195520368152</v>
      </c>
      <c r="G439" s="1979">
        <f>IF(Construction!$F$31=Construction!$R$22,Oeko!BT439,Oeko!EG439)</f>
        <v>9.1162565814232988</v>
      </c>
      <c r="H439" s="1979">
        <f>IF(Construction!$F$31=Construction!$R$22,Oeko!BU439,Oeko!EH439)</f>
        <v>9.9301936108097824</v>
      </c>
      <c r="I439" s="1998">
        <f>IF(Construction!$F$31=Construction!$R$22,Oeko!BV439,Oeko!EI439)</f>
        <v>10.021356995488349</v>
      </c>
      <c r="J439" s="1998">
        <f>IF(Construction!$F$31=Construction!$R$22,Oeko!BW439,Oeko!EJ439)</f>
        <v>10.520460942269166</v>
      </c>
      <c r="K439" s="1998">
        <f>IF(Construction!$F$31=Construction!$R$22,Oeko!BX439,Oeko!EK439)</f>
        <v>11.542916326998576</v>
      </c>
      <c r="L439" s="1998">
        <f>IF(Construction!$F$31=Construction!$R$22,Oeko!BY439,Oeko!EL439)</f>
        <v>12.577556572363953</v>
      </c>
      <c r="M439" s="1998">
        <f>IF(Construction!$F$31=Construction!$R$22,Oeko!BZ439,Oeko!EM439)</f>
        <v>13.612196817729332</v>
      </c>
      <c r="N439" s="1979">
        <f>IF(Construction!$F$31=Construction!$R$22,Oeko!CA439,Oeko!EN439)</f>
        <v>8.9640347653971819</v>
      </c>
      <c r="O439" s="1979">
        <f>IF(Construction!$F$31=Construction!$R$22,Oeko!CB439,Oeko!EO439)</f>
        <v>9.5100152302411498</v>
      </c>
      <c r="P439" s="1979">
        <f>IF(Construction!$F$31=Construction!$R$22,Oeko!CC439,Oeko!EP439)</f>
        <v>7.91385050074686</v>
      </c>
      <c r="Q439" s="1979">
        <f>IF(Construction!$F$31=Construction!$R$22,Oeko!CD439,Oeko!EQ439)</f>
        <v>7.9242946670062642</v>
      </c>
      <c r="R439" s="1979">
        <f>IF(Construction!$F$31=Construction!$R$22,Oeko!CE439,Oeko!ER439)</f>
        <v>7.9434423051485039</v>
      </c>
      <c r="S439" s="1998">
        <f>IF(Construction!$F$31=Construction!$R$22,Oeko!CF439,Oeko!ES439)</f>
        <v>12.386153034901611</v>
      </c>
      <c r="T439" s="1998">
        <f>IF(Construction!$F$31=Construction!$R$22,Oeko!CG439,Oeko!ET439)</f>
        <v>12.958243915394082</v>
      </c>
      <c r="U439" s="1998">
        <f>IF(Construction!$F$31=Construction!$R$22,Oeko!CH439,Oeko!EU439)</f>
        <v>11.388189601548305</v>
      </c>
      <c r="V439" s="1998">
        <f>IF(Construction!$F$31=Construction!$R$22,Oeko!CI439,Oeko!EV439)</f>
        <v>11.424744183456218</v>
      </c>
      <c r="W439" s="1998">
        <f>IF(Construction!$F$31=Construction!$R$22,Oeko!CJ439,Oeko!EW439)</f>
        <v>11.491760916954055</v>
      </c>
      <c r="X439" s="1979">
        <f>IF(Construction!$F$31=Construction!$R$22,Oeko!CK439,Oeko!EX439)</f>
        <v>8.8249487925616279</v>
      </c>
      <c r="Y439" s="1979">
        <f>IF(Construction!$F$31=Construction!$R$22,Oeko!CL439,Oeko!EY439)</f>
        <v>9.375106923909355</v>
      </c>
      <c r="Z439" s="1979">
        <f>IF(Construction!$F$31=Construction!$R$22,Oeko!CM439,Oeko!EZ439)</f>
        <v>7.7831198609188297</v>
      </c>
      <c r="AA439" s="1979">
        <f>IF(Construction!$F$31=Construction!$R$22,Oeko!CN439,Oeko!FA439)</f>
        <v>7.7977416936819939</v>
      </c>
      <c r="AB439" s="1979">
        <f>IF(Construction!$F$31=Construction!$R$22,Oeko!CO439,Oeko!FB439)</f>
        <v>7.824548387081129</v>
      </c>
      <c r="AC439" s="1998">
        <f>IF(Construction!$F$31=Construction!$R$22,Oeko!CP439,Oeko!FC439)</f>
        <v>5.4662209807768152</v>
      </c>
      <c r="AD439" s="1998">
        <f>IF(Construction!$F$31=Construction!$R$22,Oeko!CQ439,Oeko!FD439)</f>
        <v>5.539330144592638</v>
      </c>
      <c r="AE439" s="1998">
        <f>IF(Construction!$F$31=Construction!$R$22,Oeko!CR439,Oeko!FE439)</f>
        <v>5.6124393084084598</v>
      </c>
      <c r="AF439" s="1998">
        <f>IF(Construction!$F$31=Construction!$R$22,Oeko!CS439,Oeko!FF439)</f>
        <v>5.6855484722242817</v>
      </c>
      <c r="AG439" s="1998">
        <f>IF(Construction!$F$31=Construction!$R$22,Oeko!CT439,Oeko!FG439)</f>
        <v>5.8195819392199581</v>
      </c>
      <c r="AH439" s="1979">
        <f>IF(Construction!$F$31=Construction!$R$22,Oeko!CU439,Oeko!FH439)</f>
        <v>12.879761828189924</v>
      </c>
      <c r="AI439" s="1979">
        <f>IF(Construction!$F$31=Construction!$R$22,Oeko!CV439,Oeko!FI439)</f>
        <v>13.025980155821571</v>
      </c>
      <c r="AJ439" s="1979">
        <f>IF(Construction!$F$31=Construction!$R$22,Oeko!CW439,Oeko!FJ439)</f>
        <v>13.160013622817244</v>
      </c>
      <c r="AK439" s="1979">
        <f>IF(Construction!$F$31=Construction!$R$22,Oeko!CX439,Oeko!FK439)</f>
        <v>13.30623195044889</v>
      </c>
      <c r="AL439" s="1979">
        <f>IF(Construction!$F$31=Construction!$R$22,Oeko!CY439,Oeko!FL439)</f>
        <v>13.659592908892028</v>
      </c>
      <c r="AM439" s="1998">
        <f>IF(Construction!$F$31=Construction!$R$22,Oeko!CZ439,Oeko!FM439)</f>
        <v>6.8068815951994077</v>
      </c>
      <c r="AN439" s="1998">
        <f>IF(Construction!$F$31=Construction!$R$22,Oeko!DA439,Oeko!FN439)</f>
        <v>6.9478792214964304</v>
      </c>
      <c r="AO439" s="1998">
        <f>IF(Construction!$F$31=Construction!$R$22,Oeko!DB439,Oeko!FO439)</f>
        <v>7.6203515261660275</v>
      </c>
      <c r="AP439" s="1998">
        <f>IF(Construction!$F$31=Construction!$R$22,Oeko!DC439,Oeko!FP439)</f>
        <v>8.2968854510476149</v>
      </c>
      <c r="AQ439" s="1998">
        <f>IF(Construction!$F$31=Construction!$R$22,Oeko!DD439,Oeko!FQ439)</f>
        <v>8.9734193759292022</v>
      </c>
      <c r="AR439" s="1979">
        <f>IF(Construction!$F$31=Construction!$R$22,Oeko!DE439,Oeko!FR439)</f>
        <v>84.226423955582803</v>
      </c>
      <c r="AS439" s="1979">
        <f>IF(Construction!$F$31=Construction!$R$22,Oeko!DF439,Oeko!FS439)</f>
        <v>85.403314769897491</v>
      </c>
      <c r="AT439" s="1979">
        <f>IF(Construction!$F$31=Construction!$R$22,Oeko!DG439,Oeko!FT439)</f>
        <v>86.482131349685943</v>
      </c>
      <c r="AU439" s="1979">
        <f>IF(Construction!$F$31=Construction!$R$22,Oeko!DH439,Oeko!FU439)</f>
        <v>87.659022164000618</v>
      </c>
      <c r="AV439" s="1979">
        <f>IF(Construction!$F$31=Construction!$R$22,Oeko!DI439,Oeko!FV439)</f>
        <v>90.503174965261081</v>
      </c>
      <c r="AW439" s="1998">
        <f>IF(Construction!$F$31=Construction!$R$22,Oeko!DJ439,Oeko!FW439)</f>
        <v>85.336292838416725</v>
      </c>
      <c r="AX439" s="1998">
        <f>IF(Construction!$F$31=Construction!$R$22,Oeko!DK439,Oeko!FX439)</f>
        <v>86.510850944153503</v>
      </c>
      <c r="AY439" s="1998">
        <f>IF(Construction!$F$31=Construction!$R$22,Oeko!DL439,Oeko!FY439)</f>
        <v>87.587529207745561</v>
      </c>
      <c r="AZ439" s="1998">
        <f>IF(Construction!$F$31=Construction!$R$22,Oeko!DM439,Oeko!FZ439)</f>
        <v>88.762087313482354</v>
      </c>
      <c r="BA439" s="1998">
        <f>IF(Construction!$F$31=Construction!$R$22,Oeko!DN439,Oeko!GA439)</f>
        <v>91.600602735679573</v>
      </c>
      <c r="BB439" s="1979">
        <f>IF(Construction!$F$31=Construction!$R$22,Oeko!DO439,Oeko!GB439)</f>
        <v>6.1001143599471188</v>
      </c>
      <c r="BC439" s="1979">
        <f>IF(Construction!$F$31=Construction!$R$22,Oeko!DP439,Oeko!GC439)</f>
        <v>6.4463220992956973</v>
      </c>
      <c r="BD439" s="1979">
        <f>IF(Construction!$F$31=Construction!$R$22,Oeko!DQ439,Oeko!GD439)</f>
        <v>6.7925298386442758</v>
      </c>
      <c r="BE439" s="1979">
        <f>IF(Construction!$F$31=Construction!$R$22,Oeko!DR439,Oeko!GE439)</f>
        <v>7.1387375779928544</v>
      </c>
      <c r="BF439" s="1979">
        <f>IF(Construction!$F$31=Construction!$R$22,Oeko!DS439,Oeko!GF439)</f>
        <v>7.4849453173414338</v>
      </c>
      <c r="BG439" s="1998">
        <f>IF(Construction!$F$31=Construction!$R$22,Oeko!DT439,Oeko!GG439)</f>
        <v>7.8490257275801127</v>
      </c>
      <c r="BH439" s="1998">
        <f>IF(Construction!$F$31=Construction!$R$22,Oeko!DU439,Oeko!GH439)</f>
        <v>8.1939585902258401</v>
      </c>
      <c r="BI439" s="1998">
        <f>IF(Construction!$F$31=Construction!$R$22,Oeko!DV439,Oeko!GI439)</f>
        <v>8.5388914528715709</v>
      </c>
      <c r="BJ439" s="1998">
        <f>IF(Construction!$F$31=Construction!$R$22,Oeko!DW439,Oeko!GJ439)</f>
        <v>8.8838243155173</v>
      </c>
      <c r="BK439" s="2026">
        <f>IF(Construction!$F$31=Construction!$R$22,Oeko!DX439,Oeko!GK439)</f>
        <v>9.2287571781630309</v>
      </c>
      <c r="BN439" s="2022"/>
      <c r="BO439" s="2">
        <v>16</v>
      </c>
      <c r="BP439" s="2" t="str">
        <f>CONCATENATE($U$8," ",GV$10)</f>
        <v xml:space="preserve">Proportion de fenêtres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Proportion de fenêtres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Proportion de fenêtres </v>
      </c>
      <c r="D440" s="1979">
        <f>IF(Construction!$F$31=Construction!$R$22,Oeko!BQ440,Oeko!ED440)</f>
        <v>7.012647715983964</v>
      </c>
      <c r="E440" s="1979">
        <f>IF(Construction!$F$31=Construction!$R$22,Oeko!BR440,Oeko!EE440)</f>
        <v>7.2530176081907474</v>
      </c>
      <c r="F440" s="1979">
        <f>IF(Construction!$F$31=Construction!$R$22,Oeko!BS440,Oeko!EF440)</f>
        <v>8.0268929888761011</v>
      </c>
      <c r="G440" s="1979">
        <f>IF(Construction!$F$31=Construction!$R$22,Oeko!BT440,Oeko!EG440)</f>
        <v>8.8027991796674474</v>
      </c>
      <c r="H440" s="1979">
        <f>IF(Construction!$F$31=Construction!$R$22,Oeko!BU440,Oeko!EH440)</f>
        <v>9.5787053704587954</v>
      </c>
      <c r="I440" s="1998">
        <f>IF(Construction!$F$31=Construction!$R$22,Oeko!BV440,Oeko!EI440)</f>
        <v>9.7023361900161653</v>
      </c>
      <c r="J440" s="1998">
        <f>IF(Construction!$F$31=Construction!$R$22,Oeko!BW440,Oeko!EJ440)</f>
        <v>10.140583739230552</v>
      </c>
      <c r="K440" s="1998">
        <f>IF(Construction!$F$31=Construction!$R$22,Oeko!BX440,Oeko!EK440)</f>
        <v>11.102182726393533</v>
      </c>
      <c r="L440" s="1998">
        <f>IF(Construction!$F$31=Construction!$R$22,Oeko!BY440,Oeko!EL440)</f>
        <v>12.075966574192485</v>
      </c>
      <c r="M440" s="1998">
        <f>IF(Construction!$F$31=Construction!$R$22,Oeko!BZ440,Oeko!EM440)</f>
        <v>13.049750421991439</v>
      </c>
      <c r="N440" s="1979">
        <f>IF(Construction!$F$31=Construction!$R$22,Oeko!CA440,Oeko!EN440)</f>
        <v>8.6638833104913733</v>
      </c>
      <c r="O440" s="1979">
        <f>IF(Construction!$F$31=Construction!$R$22,Oeko!CB440,Oeko!EO440)</f>
        <v>9.2098637753353412</v>
      </c>
      <c r="P440" s="1979">
        <f>IF(Construction!$F$31=Construction!$R$22,Oeko!CC440,Oeko!EP440)</f>
        <v>7.6136990458410541</v>
      </c>
      <c r="Q440" s="1979">
        <f>IF(Construction!$F$31=Construction!$R$22,Oeko!CD440,Oeko!EQ440)</f>
        <v>7.6241432121004573</v>
      </c>
      <c r="R440" s="1979">
        <f>IF(Construction!$F$31=Construction!$R$22,Oeko!CE440,Oeko!ER440)</f>
        <v>7.6432908502426971</v>
      </c>
      <c r="S440" s="1998">
        <f>IF(Construction!$F$31=Construction!$R$22,Oeko!CF440,Oeko!ES440)</f>
        <v>11.738767543928299</v>
      </c>
      <c r="T440" s="1998">
        <f>IF(Construction!$F$31=Construction!$R$22,Oeko!CG440,Oeko!ET440)</f>
        <v>12.310858424420775</v>
      </c>
      <c r="U440" s="1998">
        <f>IF(Construction!$F$31=Construction!$R$22,Oeko!CH440,Oeko!EU440)</f>
        <v>10.740804110574995</v>
      </c>
      <c r="V440" s="1998">
        <f>IF(Construction!$F$31=Construction!$R$22,Oeko!CI440,Oeko!EV440)</f>
        <v>10.777358692482908</v>
      </c>
      <c r="W440" s="1998">
        <f>IF(Construction!$F$31=Construction!$R$22,Oeko!CJ440,Oeko!EW440)</f>
        <v>10.844375425980745</v>
      </c>
      <c r="X440" s="1979">
        <f>IF(Construction!$F$31=Construction!$R$22,Oeko!CK440,Oeko!EX440)</f>
        <v>8.5646493795676832</v>
      </c>
      <c r="Y440" s="1979">
        <f>IF(Construction!$F$31=Construction!$R$22,Oeko!CL440,Oeko!EY440)</f>
        <v>9.1148075109154121</v>
      </c>
      <c r="Z440" s="1979">
        <f>IF(Construction!$F$31=Construction!$R$22,Oeko!CM440,Oeko!EZ440)</f>
        <v>7.5228204479248868</v>
      </c>
      <c r="AA440" s="1979">
        <f>IF(Construction!$F$31=Construction!$R$22,Oeko!CN440,Oeko!FA440)</f>
        <v>7.537442280688051</v>
      </c>
      <c r="AB440" s="1979">
        <f>IF(Construction!$F$31=Construction!$R$22,Oeko!CO440,Oeko!FB440)</f>
        <v>7.5642489740871852</v>
      </c>
      <c r="AC440" s="1998">
        <f>IF(Construction!$F$31=Construction!$R$22,Oeko!CP440,Oeko!FC440)</f>
        <v>5.1881394857905541</v>
      </c>
      <c r="AD440" s="1998">
        <f>IF(Construction!$F$31=Construction!$R$22,Oeko!CQ440,Oeko!FD440)</f>
        <v>5.2612486496063759</v>
      </c>
      <c r="AE440" s="1998">
        <f>IF(Construction!$F$31=Construction!$R$22,Oeko!CR440,Oeko!FE440)</f>
        <v>5.3343578134221978</v>
      </c>
      <c r="AF440" s="1998">
        <f>IF(Construction!$F$31=Construction!$R$22,Oeko!CS440,Oeko!FF440)</f>
        <v>5.4074669772380206</v>
      </c>
      <c r="AG440" s="1998">
        <f>IF(Construction!$F$31=Construction!$R$22,Oeko!CT440,Oeko!FG440)</f>
        <v>5.5415004442336944</v>
      </c>
      <c r="AH440" s="1979">
        <f>IF(Construction!$F$31=Construction!$R$22,Oeko!CU440,Oeko!FH440)</f>
        <v>12.257535415533601</v>
      </c>
      <c r="AI440" s="1979">
        <f>IF(Construction!$F$31=Construction!$R$22,Oeko!CV440,Oeko!FI440)</f>
        <v>12.403753743165247</v>
      </c>
      <c r="AJ440" s="1979">
        <f>IF(Construction!$F$31=Construction!$R$22,Oeko!CW440,Oeko!FJ440)</f>
        <v>12.537787210160921</v>
      </c>
      <c r="AK440" s="1979">
        <f>IF(Construction!$F$31=Construction!$R$22,Oeko!CX440,Oeko!FK440)</f>
        <v>12.684005537792567</v>
      </c>
      <c r="AL440" s="1979">
        <f>IF(Construction!$F$31=Construction!$R$22,Oeko!CY440,Oeko!FL440)</f>
        <v>13.037366496235705</v>
      </c>
      <c r="AM440" s="1998">
        <f>IF(Construction!$F$31=Construction!$R$22,Oeko!CZ440,Oeko!FM440)</f>
        <v>6.7195407880123561</v>
      </c>
      <c r="AN440" s="1998">
        <f>IF(Construction!$F$31=Construction!$R$22,Oeko!DA440,Oeko!FN440)</f>
        <v>6.8438772850200822</v>
      </c>
      <c r="AO440" s="1998">
        <f>IF(Construction!$F$31=Construction!$R$22,Oeko!DB440,Oeko!FO440)</f>
        <v>7.4996884604003808</v>
      </c>
      <c r="AP440" s="1998">
        <f>IF(Construction!$F$31=Construction!$R$22,Oeko!DC440,Oeko!FP440)</f>
        <v>8.1595612559926689</v>
      </c>
      <c r="AQ440" s="1998">
        <f>IF(Construction!$F$31=Construction!$R$22,Oeko!DD440,Oeko!FQ440)</f>
        <v>8.8194340515849596</v>
      </c>
      <c r="AR440" s="1979">
        <f>IF(Construction!$F$31=Construction!$R$22,Oeko!DE440,Oeko!FR440)</f>
        <v>81.99549264860066</v>
      </c>
      <c r="AS440" s="1979">
        <f>IF(Construction!$F$31=Construction!$R$22,Oeko!DF440,Oeko!FS440)</f>
        <v>83.172383462915334</v>
      </c>
      <c r="AT440" s="1979">
        <f>IF(Construction!$F$31=Construction!$R$22,Oeko!DG440,Oeko!FT440)</f>
        <v>84.2512000427038</v>
      </c>
      <c r="AU440" s="1979">
        <f>IF(Construction!$F$31=Construction!$R$22,Oeko!DH440,Oeko!FU440)</f>
        <v>85.428090857018475</v>
      </c>
      <c r="AV440" s="1979">
        <f>IF(Construction!$F$31=Construction!$R$22,Oeko!DI440,Oeko!FV440)</f>
        <v>88.272243658278938</v>
      </c>
      <c r="AW440" s="1998">
        <f>IF(Construction!$F$31=Construction!$R$22,Oeko!DJ440,Oeko!FW440)</f>
        <v>83.01890551335147</v>
      </c>
      <c r="AX440" s="1998">
        <f>IF(Construction!$F$31=Construction!$R$22,Oeko!DK440,Oeko!FX440)</f>
        <v>84.193463619088249</v>
      </c>
      <c r="AY440" s="1998">
        <f>IF(Construction!$F$31=Construction!$R$22,Oeko!DL440,Oeko!FY440)</f>
        <v>85.270141882680292</v>
      </c>
      <c r="AZ440" s="1998">
        <f>IF(Construction!$F$31=Construction!$R$22,Oeko!DM440,Oeko!FZ440)</f>
        <v>86.444699988417099</v>
      </c>
      <c r="BA440" s="1998">
        <f>IF(Construction!$F$31=Construction!$R$22,Oeko!DN440,Oeko!GA440)</f>
        <v>89.283215410614304</v>
      </c>
      <c r="BB440" s="1979">
        <f>IF(Construction!$F$31=Construction!$R$22,Oeko!DO440,Oeko!GB440)</f>
        <v>5.8427266791982291</v>
      </c>
      <c r="BC440" s="1979">
        <f>IF(Construction!$F$31=Construction!$R$22,Oeko!DP440,Oeko!GC440)</f>
        <v>6.1889344185468076</v>
      </c>
      <c r="BD440" s="1979">
        <f>IF(Construction!$F$31=Construction!$R$22,Oeko!DQ440,Oeko!GD440)</f>
        <v>6.5351421578953861</v>
      </c>
      <c r="BE440" s="1979">
        <f>IF(Construction!$F$31=Construction!$R$22,Oeko!DR440,Oeko!GE440)</f>
        <v>6.8813498972439646</v>
      </c>
      <c r="BF440" s="1979">
        <f>IF(Construction!$F$31=Construction!$R$22,Oeko!DS440,Oeko!GF440)</f>
        <v>7.2275576365925431</v>
      </c>
      <c r="BG440" s="1998">
        <f>IF(Construction!$F$31=Construction!$R$22,Oeko!DT440,Oeko!GG440)</f>
        <v>7.3562151844789803</v>
      </c>
      <c r="BH440" s="1998">
        <f>IF(Construction!$F$31=Construction!$R$22,Oeko!DU440,Oeko!GH440)</f>
        <v>7.7011480471247094</v>
      </c>
      <c r="BI440" s="1998">
        <f>IF(Construction!$F$31=Construction!$R$22,Oeko!DV440,Oeko!GI440)</f>
        <v>8.0460809097704402</v>
      </c>
      <c r="BJ440" s="1998">
        <f>IF(Construction!$F$31=Construction!$R$22,Oeko!DW440,Oeko!GJ440)</f>
        <v>8.3910137724161693</v>
      </c>
      <c r="BK440" s="2026">
        <f>IF(Construction!$F$31=Construction!$R$22,Oeko!DX440,Oeko!GK440)</f>
        <v>8.7359466350618984</v>
      </c>
      <c r="BN440" s="2022"/>
      <c r="BO440" s="2">
        <v>17</v>
      </c>
      <c r="BP440" s="2" t="str">
        <f>CONCATENATE($U$8," ",GV$11)</f>
        <v xml:space="preserve">Proportion de fenêtres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Proportion de fenêtres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Proportion de fenêtres </v>
      </c>
      <c r="D441" s="1979">
        <f>IF(Construction!$F$31=Construction!$R$22,Oeko!BQ441,Oeko!ED441)</f>
        <v>6.8132828300135193</v>
      </c>
      <c r="E441" s="1979">
        <f>IF(Construction!$F$31=Construction!$R$22,Oeko!BR441,Oeko!EE441)</f>
        <v>7.0156218836251671</v>
      </c>
      <c r="F441" s="1979">
        <f>IF(Construction!$F$31=Construction!$R$22,Oeko!BS441,Oeko!EF441)</f>
        <v>7.7514664257153854</v>
      </c>
      <c r="G441" s="1979">
        <f>IF(Construction!$F$31=Construction!$R$22,Oeko!BT441,Oeko!EG441)</f>
        <v>8.4893417779115978</v>
      </c>
      <c r="H441" s="1979">
        <f>IF(Construction!$F$31=Construction!$R$22,Oeko!BU441,Oeko!EH441)</f>
        <v>9.2272171301078085</v>
      </c>
      <c r="I441" s="1998">
        <f>IF(Construction!$F$31=Construction!$R$22,Oeko!BV441,Oeko!EI441)</f>
        <v>9.3833153845439803</v>
      </c>
      <c r="J441" s="1998">
        <f>IF(Construction!$F$31=Construction!$R$22,Oeko!BW441,Oeko!EJ441)</f>
        <v>9.7607065361919396</v>
      </c>
      <c r="K441" s="1998">
        <f>IF(Construction!$F$31=Construction!$R$22,Oeko!BX441,Oeko!EK441)</f>
        <v>10.661449125788494</v>
      </c>
      <c r="L441" s="1998">
        <f>IF(Construction!$F$31=Construction!$R$22,Oeko!BY441,Oeko!EL441)</f>
        <v>11.574376576021018</v>
      </c>
      <c r="M441" s="1998">
        <f>IF(Construction!$F$31=Construction!$R$22,Oeko!BZ441,Oeko!EM441)</f>
        <v>12.487304026253542</v>
      </c>
      <c r="N441" s="1979">
        <f>IF(Construction!$F$31=Construction!$R$22,Oeko!CA441,Oeko!EN441)</f>
        <v>8.3637318555855682</v>
      </c>
      <c r="O441" s="1979">
        <f>IF(Construction!$F$31=Construction!$R$22,Oeko!CB441,Oeko!EO441)</f>
        <v>8.9097123204295343</v>
      </c>
      <c r="P441" s="1979">
        <f>IF(Construction!$F$31=Construction!$R$22,Oeko!CC441,Oeko!EP441)</f>
        <v>7.3135475909352481</v>
      </c>
      <c r="Q441" s="1979">
        <f>IF(Construction!$F$31=Construction!$R$22,Oeko!CD441,Oeko!EQ441)</f>
        <v>7.3239917571946513</v>
      </c>
      <c r="R441" s="1979">
        <f>IF(Construction!$F$31=Construction!$R$22,Oeko!CE441,Oeko!ER441)</f>
        <v>7.3431393953368902</v>
      </c>
      <c r="S441" s="1998">
        <f>IF(Construction!$F$31=Construction!$R$22,Oeko!CF441,Oeko!ES441)</f>
        <v>11.091382052954991</v>
      </c>
      <c r="T441" s="1998">
        <f>IF(Construction!$F$31=Construction!$R$22,Oeko!CG441,Oeko!ET441)</f>
        <v>11.663472933447467</v>
      </c>
      <c r="U441" s="1998">
        <f>IF(Construction!$F$31=Construction!$R$22,Oeko!CH441,Oeko!EU441)</f>
        <v>10.093418619601689</v>
      </c>
      <c r="V441" s="1998">
        <f>IF(Construction!$F$31=Construction!$R$22,Oeko!CI441,Oeko!EV441)</f>
        <v>10.1299732015096</v>
      </c>
      <c r="W441" s="1998">
        <f>IF(Construction!$F$31=Construction!$R$22,Oeko!CJ441,Oeko!EW441)</f>
        <v>10.196989935007439</v>
      </c>
      <c r="X441" s="1979">
        <f>IF(Construction!$F$31=Construction!$R$22,Oeko!CK441,Oeko!EX441)</f>
        <v>8.3043499665737404</v>
      </c>
      <c r="Y441" s="1979">
        <f>IF(Construction!$F$31=Construction!$R$22,Oeko!CL441,Oeko!EY441)</f>
        <v>8.8545080979214692</v>
      </c>
      <c r="Z441" s="1979">
        <f>IF(Construction!$F$31=Construction!$R$22,Oeko!CM441,Oeko!EZ441)</f>
        <v>7.262521034930943</v>
      </c>
      <c r="AA441" s="1979">
        <f>IF(Construction!$F$31=Construction!$R$22,Oeko!CN441,Oeko!FA441)</f>
        <v>7.2771428676941081</v>
      </c>
      <c r="AB441" s="1979">
        <f>IF(Construction!$F$31=Construction!$R$22,Oeko!CO441,Oeko!FB441)</f>
        <v>7.3039495610932423</v>
      </c>
      <c r="AC441" s="1998">
        <f>IF(Construction!$F$31=Construction!$R$22,Oeko!CP441,Oeko!FC441)</f>
        <v>4.9100579908042929</v>
      </c>
      <c r="AD441" s="1998">
        <f>IF(Construction!$F$31=Construction!$R$22,Oeko!CQ441,Oeko!FD441)</f>
        <v>4.9831671546201148</v>
      </c>
      <c r="AE441" s="1998">
        <f>IF(Construction!$F$31=Construction!$R$22,Oeko!CR441,Oeko!FE441)</f>
        <v>5.0562763184359367</v>
      </c>
      <c r="AF441" s="1998">
        <f>IF(Construction!$F$31=Construction!$R$22,Oeko!CS441,Oeko!FF441)</f>
        <v>5.1293854822517595</v>
      </c>
      <c r="AG441" s="1998">
        <f>IF(Construction!$F$31=Construction!$R$22,Oeko!CT441,Oeko!FG441)</f>
        <v>5.2634189492474333</v>
      </c>
      <c r="AH441" s="1979">
        <f>IF(Construction!$F$31=Construction!$R$22,Oeko!CU441,Oeko!FH441)</f>
        <v>11.635309002877278</v>
      </c>
      <c r="AI441" s="1979">
        <f>IF(Construction!$F$31=Construction!$R$22,Oeko!CV441,Oeko!FI441)</f>
        <v>11.781527330508924</v>
      </c>
      <c r="AJ441" s="1979">
        <f>IF(Construction!$F$31=Construction!$R$22,Oeko!CW441,Oeko!FJ441)</f>
        <v>11.9155607975046</v>
      </c>
      <c r="AK441" s="1979">
        <f>IF(Construction!$F$31=Construction!$R$22,Oeko!CX441,Oeko!FK441)</f>
        <v>12.061779125136244</v>
      </c>
      <c r="AL441" s="1979">
        <f>IF(Construction!$F$31=Construction!$R$22,Oeko!CY441,Oeko!FL441)</f>
        <v>12.415140083579383</v>
      </c>
      <c r="AM441" s="1998">
        <f>IF(Construction!$F$31=Construction!$R$22,Oeko!CZ441,Oeko!FM441)</f>
        <v>6.6321999808253036</v>
      </c>
      <c r="AN441" s="1998">
        <f>IF(Construction!$F$31=Construction!$R$22,Oeko!DA441,Oeko!FN441)</f>
        <v>6.7398753485437322</v>
      </c>
      <c r="AO441" s="1998">
        <f>IF(Construction!$F$31=Construction!$R$22,Oeko!DB441,Oeko!FO441)</f>
        <v>7.3790253946347342</v>
      </c>
      <c r="AP441" s="1998">
        <f>IF(Construction!$F$31=Construction!$R$22,Oeko!DC441,Oeko!FP441)</f>
        <v>8.0222370609377247</v>
      </c>
      <c r="AQ441" s="1998">
        <f>IF(Construction!$F$31=Construction!$R$22,Oeko!DD441,Oeko!FQ441)</f>
        <v>8.6654487272407188</v>
      </c>
      <c r="AR441" s="1979">
        <f>IF(Construction!$F$31=Construction!$R$22,Oeko!DE441,Oeko!FR441)</f>
        <v>79.764561341618517</v>
      </c>
      <c r="AS441" s="1979">
        <f>IF(Construction!$F$31=Construction!$R$22,Oeko!DF441,Oeko!FS441)</f>
        <v>80.941452155933192</v>
      </c>
      <c r="AT441" s="1979">
        <f>IF(Construction!$F$31=Construction!$R$22,Oeko!DG441,Oeko!FT441)</f>
        <v>82.020268735721672</v>
      </c>
      <c r="AU441" s="1979">
        <f>IF(Construction!$F$31=Construction!$R$22,Oeko!DH441,Oeko!FU441)</f>
        <v>83.197159550036346</v>
      </c>
      <c r="AV441" s="1979">
        <f>IF(Construction!$F$31=Construction!$R$22,Oeko!DI441,Oeko!FV441)</f>
        <v>86.04131235129681</v>
      </c>
      <c r="AW441" s="1998">
        <f>IF(Construction!$F$31=Construction!$R$22,Oeko!DJ441,Oeko!FW441)</f>
        <v>80.701518188286187</v>
      </c>
      <c r="AX441" s="1998">
        <f>IF(Construction!$F$31=Construction!$R$22,Oeko!DK441,Oeko!FX441)</f>
        <v>81.87607629402298</v>
      </c>
      <c r="AY441" s="1998">
        <f>IF(Construction!$F$31=Construction!$R$22,Oeko!DL441,Oeko!FY441)</f>
        <v>82.952754557615052</v>
      </c>
      <c r="AZ441" s="1998">
        <f>IF(Construction!$F$31=Construction!$R$22,Oeko!DM441,Oeko!FZ441)</f>
        <v>84.127312663351816</v>
      </c>
      <c r="BA441" s="1998">
        <f>IF(Construction!$F$31=Construction!$R$22,Oeko!DN441,Oeko!GA441)</f>
        <v>86.965828085549063</v>
      </c>
      <c r="BB441" s="1979">
        <f>IF(Construction!$F$31=Construction!$R$22,Oeko!DO441,Oeko!GB441)</f>
        <v>5.5853389984493393</v>
      </c>
      <c r="BC441" s="1979">
        <f>IF(Construction!$F$31=Construction!$R$22,Oeko!DP441,Oeko!GC441)</f>
        <v>5.931546737797917</v>
      </c>
      <c r="BD441" s="1979">
        <f>IF(Construction!$F$31=Construction!$R$22,Oeko!DQ441,Oeko!GD441)</f>
        <v>6.2777544771464955</v>
      </c>
      <c r="BE441" s="1979">
        <f>IF(Construction!$F$31=Construction!$R$22,Oeko!DR441,Oeko!GE441)</f>
        <v>6.623962216495074</v>
      </c>
      <c r="BF441" s="1979">
        <f>IF(Construction!$F$31=Construction!$R$22,Oeko!DS441,Oeko!GF441)</f>
        <v>6.9701699558436525</v>
      </c>
      <c r="BG441" s="1998">
        <f>IF(Construction!$F$31=Construction!$R$22,Oeko!DT441,Oeko!GG441)</f>
        <v>6.8634046413778469</v>
      </c>
      <c r="BH441" s="1998">
        <f>IF(Construction!$F$31=Construction!$R$22,Oeko!DU441,Oeko!GH441)</f>
        <v>7.2083375040235769</v>
      </c>
      <c r="BI441" s="1998">
        <f>IF(Construction!$F$31=Construction!$R$22,Oeko!DV441,Oeko!GI441)</f>
        <v>7.5532703666693068</v>
      </c>
      <c r="BJ441" s="1998">
        <f>IF(Construction!$F$31=Construction!$R$22,Oeko!DW441,Oeko!GJ441)</f>
        <v>7.8982032293150359</v>
      </c>
      <c r="BK441" s="2026">
        <f>IF(Construction!$F$31=Construction!$R$22,Oeko!DX441,Oeko!GK441)</f>
        <v>8.2431360919607659</v>
      </c>
      <c r="BN441" s="2022"/>
      <c r="BO441" s="2">
        <v>18</v>
      </c>
      <c r="BP441" s="2" t="str">
        <f>CONCATENATE($U$8," ",GV$12)</f>
        <v xml:space="preserve">Proportion de fenêtres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Proportion de fenêtres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Proportion de fenêtres </v>
      </c>
      <c r="D442" s="1979">
        <f>IF(Construction!$F$31=Construction!$R$22,Oeko!BQ442,Oeko!ED442)</f>
        <v>6.6139179440430755</v>
      </c>
      <c r="E442" s="1979">
        <f>IF(Construction!$F$31=Construction!$R$22,Oeko!BR442,Oeko!EE442)</f>
        <v>6.7782261590595896</v>
      </c>
      <c r="F442" s="1979">
        <f>IF(Construction!$F$31=Construction!$R$22,Oeko!BS442,Oeko!EF442)</f>
        <v>7.4760398625546705</v>
      </c>
      <c r="G442" s="1979">
        <f>IF(Construction!$F$31=Construction!$R$22,Oeko!BT442,Oeko!EG442)</f>
        <v>8.1758843761557465</v>
      </c>
      <c r="H442" s="1979">
        <f>IF(Construction!$F$31=Construction!$R$22,Oeko!BU442,Oeko!EH442)</f>
        <v>8.8757288897568234</v>
      </c>
      <c r="I442" s="1998">
        <f>IF(Construction!$F$31=Construction!$R$22,Oeko!BV442,Oeko!EI442)</f>
        <v>9.0642945790717953</v>
      </c>
      <c r="J442" s="1998">
        <f>IF(Construction!$F$31=Construction!$R$22,Oeko!BW442,Oeko!EJ442)</f>
        <v>9.3808293331533275</v>
      </c>
      <c r="K442" s="1998">
        <f>IF(Construction!$F$31=Construction!$R$22,Oeko!BX442,Oeko!EK442)</f>
        <v>10.220715525183452</v>
      </c>
      <c r="L442" s="1998">
        <f>IF(Construction!$F$31=Construction!$R$22,Oeko!BY442,Oeko!EL442)</f>
        <v>11.072786577849548</v>
      </c>
      <c r="M442" s="1998">
        <f>IF(Construction!$F$31=Construction!$R$22,Oeko!BZ442,Oeko!EM442)</f>
        <v>11.924857630515648</v>
      </c>
      <c r="N442" s="1979">
        <f>IF(Construction!$F$31=Construction!$R$22,Oeko!CA442,Oeko!EN442)</f>
        <v>8.0635804006797613</v>
      </c>
      <c r="O442" s="1979">
        <f>IF(Construction!$F$31=Construction!$R$22,Oeko!CB442,Oeko!EO442)</f>
        <v>8.6095608655237275</v>
      </c>
      <c r="P442" s="1979">
        <f>IF(Construction!$F$31=Construction!$R$22,Oeko!CC442,Oeko!EP442)</f>
        <v>7.0133961360294412</v>
      </c>
      <c r="Q442" s="1979">
        <f>IF(Construction!$F$31=Construction!$R$22,Oeko!CD442,Oeko!EQ442)</f>
        <v>7.0238403022888454</v>
      </c>
      <c r="R442" s="1979">
        <f>IF(Construction!$F$31=Construction!$R$22,Oeko!CE442,Oeko!ER442)</f>
        <v>7.0429879404310833</v>
      </c>
      <c r="S442" s="1998">
        <f>IF(Construction!$F$31=Construction!$R$22,Oeko!CF442,Oeko!ES442)</f>
        <v>10.443996561981686</v>
      </c>
      <c r="T442" s="1998">
        <f>IF(Construction!$F$31=Construction!$R$22,Oeko!CG442,Oeko!ET442)</f>
        <v>11.016087442474159</v>
      </c>
      <c r="U442" s="1998">
        <f>IF(Construction!$F$31=Construction!$R$22,Oeko!CH442,Oeko!EU442)</f>
        <v>9.4460331286283807</v>
      </c>
      <c r="V442" s="1998">
        <f>IF(Construction!$F$31=Construction!$R$22,Oeko!CI442,Oeko!EV442)</f>
        <v>9.4825877105362935</v>
      </c>
      <c r="W442" s="1998">
        <f>IF(Construction!$F$31=Construction!$R$22,Oeko!CJ442,Oeko!EW442)</f>
        <v>9.5496044440341308</v>
      </c>
      <c r="X442" s="1979">
        <f>IF(Construction!$F$31=Construction!$R$22,Oeko!CK442,Oeko!EX442)</f>
        <v>8.0440505535797975</v>
      </c>
      <c r="Y442" s="1979">
        <f>IF(Construction!$F$31=Construction!$R$22,Oeko!CL442,Oeko!EY442)</f>
        <v>8.5942086849275245</v>
      </c>
      <c r="Z442" s="1979">
        <f>IF(Construction!$F$31=Construction!$R$22,Oeko!CM442,Oeko!EZ442)</f>
        <v>7.0022216219370002</v>
      </c>
      <c r="AA442" s="1979">
        <f>IF(Construction!$F$31=Construction!$R$22,Oeko!CN442,Oeko!FA442)</f>
        <v>7.0168434547001644</v>
      </c>
      <c r="AB442" s="1979">
        <f>IF(Construction!$F$31=Construction!$R$22,Oeko!CO442,Oeko!FB442)</f>
        <v>7.0436501480992995</v>
      </c>
      <c r="AC442" s="1998">
        <f>IF(Construction!$F$31=Construction!$R$22,Oeko!CP442,Oeko!FC442)</f>
        <v>4.6319764958180309</v>
      </c>
      <c r="AD442" s="1998">
        <f>IF(Construction!$F$31=Construction!$R$22,Oeko!CQ442,Oeko!FD442)</f>
        <v>4.7050856596338528</v>
      </c>
      <c r="AE442" s="1998">
        <f>IF(Construction!$F$31=Construction!$R$22,Oeko!CR442,Oeko!FE442)</f>
        <v>4.7781948234496756</v>
      </c>
      <c r="AF442" s="1998">
        <f>IF(Construction!$F$31=Construction!$R$22,Oeko!CS442,Oeko!FF442)</f>
        <v>4.8513039872654975</v>
      </c>
      <c r="AG442" s="1998">
        <f>IF(Construction!$F$31=Construction!$R$22,Oeko!CT442,Oeko!FG442)</f>
        <v>4.9853374542611713</v>
      </c>
      <c r="AH442" s="1979">
        <f>IF(Construction!$F$31=Construction!$R$22,Oeko!CU442,Oeko!FH442)</f>
        <v>11.013082590220957</v>
      </c>
      <c r="AI442" s="1979">
        <f>IF(Construction!$F$31=Construction!$R$22,Oeko!CV442,Oeko!FI442)</f>
        <v>11.159300917852601</v>
      </c>
      <c r="AJ442" s="1979">
        <f>IF(Construction!$F$31=Construction!$R$22,Oeko!CW442,Oeko!FJ442)</f>
        <v>11.293334384848277</v>
      </c>
      <c r="AK442" s="1979">
        <f>IF(Construction!$F$31=Construction!$R$22,Oeko!CX442,Oeko!FK442)</f>
        <v>11.439552712479921</v>
      </c>
      <c r="AL442" s="1979">
        <f>IF(Construction!$F$31=Construction!$R$22,Oeko!CY442,Oeko!FL442)</f>
        <v>11.792913670923062</v>
      </c>
      <c r="AM442" s="1998">
        <f>IF(Construction!$F$31=Construction!$R$22,Oeko!CZ442,Oeko!FM442)</f>
        <v>6.5448591736382529</v>
      </c>
      <c r="AN442" s="1998">
        <f>IF(Construction!$F$31=Construction!$R$22,Oeko!DA442,Oeko!FN442)</f>
        <v>6.635873412067383</v>
      </c>
      <c r="AO442" s="1998">
        <f>IF(Construction!$F$31=Construction!$R$22,Oeko!DB442,Oeko!FO442)</f>
        <v>7.2583623288690875</v>
      </c>
      <c r="AP442" s="1998">
        <f>IF(Construction!$F$31=Construction!$R$22,Oeko!DC442,Oeko!FP442)</f>
        <v>7.8849128658827823</v>
      </c>
      <c r="AQ442" s="1998">
        <f>IF(Construction!$F$31=Construction!$R$22,Oeko!DD442,Oeko!FQ442)</f>
        <v>8.5114634028964762</v>
      </c>
      <c r="AR442" s="1979">
        <f>IF(Construction!$F$31=Construction!$R$22,Oeko!DE442,Oeko!FR442)</f>
        <v>77.533630034636388</v>
      </c>
      <c r="AS442" s="1979">
        <f>IF(Construction!$F$31=Construction!$R$22,Oeko!DF442,Oeko!FS442)</f>
        <v>78.710520848951063</v>
      </c>
      <c r="AT442" s="1979">
        <f>IF(Construction!$F$31=Construction!$R$22,Oeko!DG442,Oeko!FT442)</f>
        <v>79.789337428739515</v>
      </c>
      <c r="AU442" s="1979">
        <f>IF(Construction!$F$31=Construction!$R$22,Oeko!DH442,Oeko!FU442)</f>
        <v>80.966228243054189</v>
      </c>
      <c r="AV442" s="1979">
        <f>IF(Construction!$F$31=Construction!$R$22,Oeko!DI442,Oeko!FV442)</f>
        <v>83.810381044314667</v>
      </c>
      <c r="AW442" s="1998">
        <f>IF(Construction!$F$31=Construction!$R$22,Oeko!DJ442,Oeko!FW442)</f>
        <v>78.384130863220946</v>
      </c>
      <c r="AX442" s="1998">
        <f>IF(Construction!$F$31=Construction!$R$22,Oeko!DK442,Oeko!FX442)</f>
        <v>79.558688968957725</v>
      </c>
      <c r="AY442" s="1998">
        <f>IF(Construction!$F$31=Construction!$R$22,Oeko!DL442,Oeko!FY442)</f>
        <v>80.635367232549783</v>
      </c>
      <c r="AZ442" s="1998">
        <f>IF(Construction!$F$31=Construction!$R$22,Oeko!DM442,Oeko!FZ442)</f>
        <v>81.809925338286561</v>
      </c>
      <c r="BA442" s="1998">
        <f>IF(Construction!$F$31=Construction!$R$22,Oeko!DN442,Oeko!GA442)</f>
        <v>84.648440760483794</v>
      </c>
      <c r="BB442" s="1979">
        <f>IF(Construction!$F$31=Construction!$R$22,Oeko!DO442,Oeko!GB442)</f>
        <v>5.3279513177004487</v>
      </c>
      <c r="BC442" s="1979">
        <f>IF(Construction!$F$31=Construction!$R$22,Oeko!DP442,Oeko!GC442)</f>
        <v>5.6741590570490272</v>
      </c>
      <c r="BD442" s="1979">
        <f>IF(Construction!$F$31=Construction!$R$22,Oeko!DQ442,Oeko!GD442)</f>
        <v>6.0203667963976066</v>
      </c>
      <c r="BE442" s="1979">
        <f>IF(Construction!$F$31=Construction!$R$22,Oeko!DR442,Oeko!GE442)</f>
        <v>6.3665745357461851</v>
      </c>
      <c r="BF442" s="1979">
        <f>IF(Construction!$F$31=Construction!$R$22,Oeko!DS442,Oeko!GF442)</f>
        <v>6.7127822750947619</v>
      </c>
      <c r="BG442" s="1998">
        <f>IF(Construction!$F$31=Construction!$R$22,Oeko!DT442,Oeko!GG442)</f>
        <v>6.3705940982767153</v>
      </c>
      <c r="BH442" s="1998">
        <f>IF(Construction!$F$31=Construction!$R$22,Oeko!DU442,Oeko!GH442)</f>
        <v>6.7155269609224435</v>
      </c>
      <c r="BI442" s="1998">
        <f>IF(Construction!$F$31=Construction!$R$22,Oeko!DV442,Oeko!GI442)</f>
        <v>7.0604598235681744</v>
      </c>
      <c r="BJ442" s="1998">
        <f>IF(Construction!$F$31=Construction!$R$22,Oeko!DW442,Oeko!GJ442)</f>
        <v>7.4053926862139043</v>
      </c>
      <c r="BK442" s="2026">
        <f>IF(Construction!$F$31=Construction!$R$22,Oeko!DX442,Oeko!GK442)</f>
        <v>7.7503255488596343</v>
      </c>
      <c r="BN442" s="2022"/>
      <c r="BO442" s="2">
        <v>19</v>
      </c>
      <c r="BP442" s="2" t="str">
        <f>CONCATENATE($U$8," ",GV$13)</f>
        <v xml:space="preserve">Proportion de fenêtres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Proportion de fenêtres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Proportion de fenêtres </v>
      </c>
      <c r="D443" s="1979">
        <f>IF(Construction!$F$31=Construction!$R$22,Oeko!BQ443,Oeko!ED443)</f>
        <v>6.4145530580726327</v>
      </c>
      <c r="E443" s="1979">
        <f>IF(Construction!$F$31=Construction!$R$22,Oeko!BR443,Oeko!EE443)</f>
        <v>6.5408304344940094</v>
      </c>
      <c r="F443" s="1979">
        <f>IF(Construction!$F$31=Construction!$R$22,Oeko!BS443,Oeko!EF443)</f>
        <v>7.2006132993939556</v>
      </c>
      <c r="G443" s="1979">
        <f>IF(Construction!$F$31=Construction!$R$22,Oeko!BT443,Oeko!EG443)</f>
        <v>7.8624269743998969</v>
      </c>
      <c r="H443" s="1979">
        <f>IF(Construction!$F$31=Construction!$R$22,Oeko!BU443,Oeko!EH443)</f>
        <v>8.5242406494058365</v>
      </c>
      <c r="I443" s="1998">
        <f>IF(Construction!$F$31=Construction!$R$22,Oeko!BV443,Oeko!EI443)</f>
        <v>8.7452737735996102</v>
      </c>
      <c r="J443" s="1998">
        <f>IF(Construction!$F$31=Construction!$R$22,Oeko!BW443,Oeko!EJ443)</f>
        <v>9.0009521301147153</v>
      </c>
      <c r="K443" s="1998">
        <f>IF(Construction!$F$31=Construction!$R$22,Oeko!BX443,Oeko!EK443)</f>
        <v>9.7799819245784132</v>
      </c>
      <c r="L443" s="1998">
        <f>IF(Construction!$F$31=Construction!$R$22,Oeko!BY443,Oeko!EL443)</f>
        <v>10.57119657967808</v>
      </c>
      <c r="M443" s="1998">
        <f>IF(Construction!$F$31=Construction!$R$22,Oeko!BZ443,Oeko!EM443)</f>
        <v>11.362411234777751</v>
      </c>
      <c r="N443" s="1979">
        <f>IF(Construction!$F$31=Construction!$R$22,Oeko!CA443,Oeko!EN443)</f>
        <v>7.7634289457739554</v>
      </c>
      <c r="O443" s="1979">
        <f>IF(Construction!$F$31=Construction!$R$22,Oeko!CB443,Oeko!EO443)</f>
        <v>8.3094094106179224</v>
      </c>
      <c r="P443" s="1979">
        <f>IF(Construction!$F$31=Construction!$R$22,Oeko!CC443,Oeko!EP443)</f>
        <v>6.7132446811236344</v>
      </c>
      <c r="Q443" s="1979">
        <f>IF(Construction!$F$31=Construction!$R$22,Oeko!CD443,Oeko!EQ443)</f>
        <v>6.7236888473830385</v>
      </c>
      <c r="R443" s="1979">
        <f>IF(Construction!$F$31=Construction!$R$22,Oeko!CE443,Oeko!ER443)</f>
        <v>6.7428364855252774</v>
      </c>
      <c r="S443" s="1998">
        <f>IF(Construction!$F$31=Construction!$R$22,Oeko!CF443,Oeko!ES443)</f>
        <v>9.7966110710083765</v>
      </c>
      <c r="T443" s="1998">
        <f>IF(Construction!$F$31=Construction!$R$22,Oeko!CG443,Oeko!ET443)</f>
        <v>10.368701951500851</v>
      </c>
      <c r="U443" s="1998">
        <f>IF(Construction!$F$31=Construction!$R$22,Oeko!CH443,Oeko!EU443)</f>
        <v>8.7986476376550744</v>
      </c>
      <c r="V443" s="1998">
        <f>IF(Construction!$F$31=Construction!$R$22,Oeko!CI443,Oeko!EV443)</f>
        <v>8.8352022195629836</v>
      </c>
      <c r="W443" s="1998">
        <f>IF(Construction!$F$31=Construction!$R$22,Oeko!CJ443,Oeko!EW443)</f>
        <v>8.9022189530608209</v>
      </c>
      <c r="X443" s="1979">
        <f>IF(Construction!$F$31=Construction!$R$22,Oeko!CK443,Oeko!EX443)</f>
        <v>7.7837511405858546</v>
      </c>
      <c r="Y443" s="1979">
        <f>IF(Construction!$F$31=Construction!$R$22,Oeko!CL443,Oeko!EY443)</f>
        <v>8.3339092719335834</v>
      </c>
      <c r="Z443" s="1979">
        <f>IF(Construction!$F$31=Construction!$R$22,Oeko!CM443,Oeko!EZ443)</f>
        <v>6.7419222089430582</v>
      </c>
      <c r="AA443" s="1979">
        <f>IF(Construction!$F$31=Construction!$R$22,Oeko!CN443,Oeko!FA443)</f>
        <v>6.7565440417062224</v>
      </c>
      <c r="AB443" s="1979">
        <f>IF(Construction!$F$31=Construction!$R$22,Oeko!CO443,Oeko!FB443)</f>
        <v>6.7833507351053575</v>
      </c>
      <c r="AC443" s="1998">
        <f>IF(Construction!$F$31=Construction!$R$22,Oeko!CP443,Oeko!FC443)</f>
        <v>4.3538950008317689</v>
      </c>
      <c r="AD443" s="1998">
        <f>IF(Construction!$F$31=Construction!$R$22,Oeko!CQ443,Oeko!FD443)</f>
        <v>4.4270041646475917</v>
      </c>
      <c r="AE443" s="1998">
        <f>IF(Construction!$F$31=Construction!$R$22,Oeko!CR443,Oeko!FE443)</f>
        <v>4.5001133284634136</v>
      </c>
      <c r="AF443" s="1998">
        <f>IF(Construction!$F$31=Construction!$R$22,Oeko!CS443,Oeko!FF443)</f>
        <v>4.5732224922792355</v>
      </c>
      <c r="AG443" s="1998">
        <f>IF(Construction!$F$31=Construction!$R$22,Oeko!CT443,Oeko!FG443)</f>
        <v>4.7072559592749093</v>
      </c>
      <c r="AH443" s="1979">
        <f>IF(Construction!$F$31=Construction!$R$22,Oeko!CU443,Oeko!FH443)</f>
        <v>10.390856177564633</v>
      </c>
      <c r="AI443" s="1979">
        <f>IF(Construction!$F$31=Construction!$R$22,Oeko!CV443,Oeko!FI443)</f>
        <v>10.537074505196278</v>
      </c>
      <c r="AJ443" s="1979">
        <f>IF(Construction!$F$31=Construction!$R$22,Oeko!CW443,Oeko!FJ443)</f>
        <v>10.671107972191953</v>
      </c>
      <c r="AK443" s="1979">
        <f>IF(Construction!$F$31=Construction!$R$22,Oeko!CX443,Oeko!FK443)</f>
        <v>10.817326299823597</v>
      </c>
      <c r="AL443" s="1979">
        <f>IF(Construction!$F$31=Construction!$R$22,Oeko!CY443,Oeko!FL443)</f>
        <v>11.170687258266737</v>
      </c>
      <c r="AM443" s="1998">
        <f>IF(Construction!$F$31=Construction!$R$22,Oeko!CZ443,Oeko!FM443)</f>
        <v>6.4575183664512021</v>
      </c>
      <c r="AN443" s="1998">
        <f>IF(Construction!$F$31=Construction!$R$22,Oeko!DA443,Oeko!FN443)</f>
        <v>6.5318714755910339</v>
      </c>
      <c r="AO443" s="1998">
        <f>IF(Construction!$F$31=Construction!$R$22,Oeko!DB443,Oeko!FO443)</f>
        <v>7.1376992631034417</v>
      </c>
      <c r="AP443" s="1998">
        <f>IF(Construction!$F$31=Construction!$R$22,Oeko!DC443,Oeko!FP443)</f>
        <v>7.747588670827839</v>
      </c>
      <c r="AQ443" s="1998">
        <f>IF(Construction!$F$31=Construction!$R$22,Oeko!DD443,Oeko!FQ443)</f>
        <v>8.3574780785522353</v>
      </c>
      <c r="AR443" s="1979">
        <f>IF(Construction!$F$31=Construction!$R$22,Oeko!DE443,Oeko!FR443)</f>
        <v>75.302698727654231</v>
      </c>
      <c r="AS443" s="1979">
        <f>IF(Construction!$F$31=Construction!$R$22,Oeko!DF443,Oeko!FS443)</f>
        <v>76.479589541968906</v>
      </c>
      <c r="AT443" s="1979">
        <f>IF(Construction!$F$31=Construction!$R$22,Oeko!DG443,Oeko!FT443)</f>
        <v>77.558406121757358</v>
      </c>
      <c r="AU443" s="1979">
        <f>IF(Construction!$F$31=Construction!$R$22,Oeko!DH443,Oeko!FU443)</f>
        <v>78.735296936072032</v>
      </c>
      <c r="AV443" s="1979">
        <f>IF(Construction!$F$31=Construction!$R$22,Oeko!DI443,Oeko!FV443)</f>
        <v>81.579449737332496</v>
      </c>
      <c r="AW443" s="1998">
        <f>IF(Construction!$F$31=Construction!$R$22,Oeko!DJ443,Oeko!FW443)</f>
        <v>76.066743538155677</v>
      </c>
      <c r="AX443" s="1998">
        <f>IF(Construction!$F$31=Construction!$R$22,Oeko!DK443,Oeko!FX443)</f>
        <v>77.241301643892456</v>
      </c>
      <c r="AY443" s="1998">
        <f>IF(Construction!$F$31=Construction!$R$22,Oeko!DL443,Oeko!FY443)</f>
        <v>78.317979907484528</v>
      </c>
      <c r="AZ443" s="1998">
        <f>IF(Construction!$F$31=Construction!$R$22,Oeko!DM443,Oeko!FZ443)</f>
        <v>79.492538013221306</v>
      </c>
      <c r="BA443" s="1998">
        <f>IF(Construction!$F$31=Construction!$R$22,Oeko!DN443,Oeko!GA443)</f>
        <v>82.331053435418525</v>
      </c>
      <c r="BB443" s="1979">
        <f>IF(Construction!$F$31=Construction!$R$22,Oeko!DO443,Oeko!GB443)</f>
        <v>5.0705636369515581</v>
      </c>
      <c r="BC443" s="1979">
        <f>IF(Construction!$F$31=Construction!$R$22,Oeko!DP443,Oeko!GC443)</f>
        <v>5.4167713763001366</v>
      </c>
      <c r="BD443" s="1979">
        <f>IF(Construction!$F$31=Construction!$R$22,Oeko!DQ443,Oeko!GD443)</f>
        <v>5.7629791156487151</v>
      </c>
      <c r="BE443" s="1979">
        <f>IF(Construction!$F$31=Construction!$R$22,Oeko!DR443,Oeko!GE443)</f>
        <v>6.1091868549972936</v>
      </c>
      <c r="BF443" s="1979">
        <f>IF(Construction!$F$31=Construction!$R$22,Oeko!DS443,Oeko!GF443)</f>
        <v>6.4553945943458713</v>
      </c>
      <c r="BG443" s="1998">
        <f>IF(Construction!$F$31=Construction!$R$22,Oeko!DT443,Oeko!GG443)</f>
        <v>5.8777835551755828</v>
      </c>
      <c r="BH443" s="1998">
        <f>IF(Construction!$F$31=Construction!$R$22,Oeko!DU443,Oeko!GH443)</f>
        <v>6.2227164178213128</v>
      </c>
      <c r="BI443" s="1998">
        <f>IF(Construction!$F$31=Construction!$R$22,Oeko!DV443,Oeko!GI443)</f>
        <v>6.5676492804670419</v>
      </c>
      <c r="BJ443" s="1998">
        <f>IF(Construction!$F$31=Construction!$R$22,Oeko!DW443,Oeko!GJ443)</f>
        <v>6.9125821431127719</v>
      </c>
      <c r="BK443" s="2026">
        <f>IF(Construction!$F$31=Construction!$R$22,Oeko!DX443,Oeko!GK443)</f>
        <v>7.2575150057585009</v>
      </c>
      <c r="BN443" s="2022"/>
      <c r="BO443" s="2">
        <v>20</v>
      </c>
      <c r="BP443" s="2" t="str">
        <f>CONCATENATE($U$8," ",GV$14)</f>
        <v xml:space="preserve">Proportion de fenêtres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Proportion de fenêtres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Proportion de fenêtres </v>
      </c>
      <c r="D444" s="1979">
        <f>IF(Construction!$F$31=Construction!$R$22,Oeko!BQ444,Oeko!ED444)</f>
        <v>6.2151881721021889</v>
      </c>
      <c r="E444" s="1979">
        <f>IF(Construction!$F$31=Construction!$R$22,Oeko!BR444,Oeko!EE444)</f>
        <v>6.30343470992843</v>
      </c>
      <c r="F444" s="1979">
        <f>IF(Construction!$F$31=Construction!$R$22,Oeko!BS444,Oeko!EF444)</f>
        <v>6.9251867362332398</v>
      </c>
      <c r="G444" s="1979">
        <f>IF(Construction!$F$31=Construction!$R$22,Oeko!BT444,Oeko!EG444)</f>
        <v>7.5489695726440456</v>
      </c>
      <c r="H444" s="1979">
        <f>IF(Construction!$F$31=Construction!$R$22,Oeko!BU444,Oeko!EH444)</f>
        <v>8.1727524090548513</v>
      </c>
      <c r="I444" s="1998">
        <f>IF(Construction!$F$31=Construction!$R$22,Oeko!BV444,Oeko!EI444)</f>
        <v>8.4262529681274234</v>
      </c>
      <c r="J444" s="1998">
        <f>IF(Construction!$F$31=Construction!$R$22,Oeko!BW444,Oeko!EJ444)</f>
        <v>8.6210749270761031</v>
      </c>
      <c r="K444" s="1998">
        <f>IF(Construction!$F$31=Construction!$R$22,Oeko!BX444,Oeko!EK444)</f>
        <v>9.3392483239733739</v>
      </c>
      <c r="L444" s="1998">
        <f>IF(Construction!$F$31=Construction!$R$22,Oeko!BY444,Oeko!EL444)</f>
        <v>10.069606581506614</v>
      </c>
      <c r="M444" s="1998">
        <f>IF(Construction!$F$31=Construction!$R$22,Oeko!BZ444,Oeko!EM444)</f>
        <v>10.799964839039854</v>
      </c>
      <c r="N444" s="1979">
        <f>IF(Construction!$F$31=Construction!$R$22,Oeko!CA444,Oeko!EN444)</f>
        <v>7.4632774908681485</v>
      </c>
      <c r="O444" s="1979">
        <f>IF(Construction!$F$31=Construction!$R$22,Oeko!CB444,Oeko!EO444)</f>
        <v>8.0092579557121155</v>
      </c>
      <c r="P444" s="1979">
        <f>IF(Construction!$F$31=Construction!$R$22,Oeko!CC444,Oeko!EP444)</f>
        <v>6.4130932262178284</v>
      </c>
      <c r="Q444" s="1979">
        <f>IF(Construction!$F$31=Construction!$R$22,Oeko!CD444,Oeko!EQ444)</f>
        <v>6.4235373924772308</v>
      </c>
      <c r="R444" s="1979">
        <f>IF(Construction!$F$31=Construction!$R$22,Oeko!CE444,Oeko!ER444)</f>
        <v>6.4426850306194705</v>
      </c>
      <c r="S444" s="1998">
        <f>IF(Construction!$F$31=Construction!$R$22,Oeko!CF444,Oeko!ES444)</f>
        <v>9.1492255800350684</v>
      </c>
      <c r="T444" s="1998">
        <f>IF(Construction!$F$31=Construction!$R$22,Oeko!CG444,Oeko!ET444)</f>
        <v>9.7213164605275448</v>
      </c>
      <c r="U444" s="1998">
        <f>IF(Construction!$F$31=Construction!$R$22,Oeko!CH444,Oeko!EU444)</f>
        <v>8.1512621466817645</v>
      </c>
      <c r="V444" s="1998">
        <f>IF(Construction!$F$31=Construction!$R$22,Oeko!CI444,Oeko!EV444)</f>
        <v>8.1878167285896755</v>
      </c>
      <c r="W444" s="1998">
        <f>IF(Construction!$F$31=Construction!$R$22,Oeko!CJ444,Oeko!EW444)</f>
        <v>8.2548334620875128</v>
      </c>
      <c r="X444" s="1979">
        <f>IF(Construction!$F$31=Construction!$R$22,Oeko!CK444,Oeko!EX444)</f>
        <v>7.5234517275919108</v>
      </c>
      <c r="Y444" s="1979">
        <f>IF(Construction!$F$31=Construction!$R$22,Oeko!CL444,Oeko!EY444)</f>
        <v>8.0736098589396406</v>
      </c>
      <c r="Z444" s="1979">
        <f>IF(Construction!$F$31=Construction!$R$22,Oeko!CM444,Oeko!EZ444)</f>
        <v>6.4816227959491144</v>
      </c>
      <c r="AA444" s="1979">
        <f>IF(Construction!$F$31=Construction!$R$22,Oeko!CN444,Oeko!FA444)</f>
        <v>6.4962446287122795</v>
      </c>
      <c r="AB444" s="1979">
        <f>IF(Construction!$F$31=Construction!$R$22,Oeko!CO444,Oeko!FB444)</f>
        <v>6.5230513221114146</v>
      </c>
      <c r="AC444" s="1998">
        <f>IF(Construction!$F$31=Construction!$R$22,Oeko!CP444,Oeko!FC444)</f>
        <v>4.0758135058455069</v>
      </c>
      <c r="AD444" s="1998">
        <f>IF(Construction!$F$31=Construction!$R$22,Oeko!CQ444,Oeko!FD444)</f>
        <v>4.1489226696613288</v>
      </c>
      <c r="AE444" s="1998">
        <f>IF(Construction!$F$31=Construction!$R$22,Oeko!CR444,Oeko!FE444)</f>
        <v>4.2220318334771516</v>
      </c>
      <c r="AF444" s="1998">
        <f>IF(Construction!$F$31=Construction!$R$22,Oeko!CS444,Oeko!FF444)</f>
        <v>4.2951409972929735</v>
      </c>
      <c r="AG444" s="1998">
        <f>IF(Construction!$F$31=Construction!$R$22,Oeko!CT444,Oeko!FG444)</f>
        <v>4.4291744642886481</v>
      </c>
      <c r="AH444" s="1979">
        <f>IF(Construction!$F$31=Construction!$R$22,Oeko!CU444,Oeko!FH444)</f>
        <v>9.7686297649083098</v>
      </c>
      <c r="AI444" s="1979">
        <f>IF(Construction!$F$31=Construction!$R$22,Oeko!CV444,Oeko!FI444)</f>
        <v>9.9148480925399554</v>
      </c>
      <c r="AJ444" s="1979">
        <f>IF(Construction!$F$31=Construction!$R$22,Oeko!CW444,Oeko!FJ444)</f>
        <v>10.04888155953563</v>
      </c>
      <c r="AK444" s="1979">
        <f>IF(Construction!$F$31=Construction!$R$22,Oeko!CX444,Oeko!FK444)</f>
        <v>10.195099887167274</v>
      </c>
      <c r="AL444" s="1979">
        <f>IF(Construction!$F$31=Construction!$R$22,Oeko!CY444,Oeko!FL444)</f>
        <v>10.548460845610414</v>
      </c>
      <c r="AM444" s="1998">
        <f>IF(Construction!$F$31=Construction!$R$22,Oeko!CZ444,Oeko!FM444)</f>
        <v>6.3701775592641496</v>
      </c>
      <c r="AN444" s="1998">
        <f>IF(Construction!$F$31=Construction!$R$22,Oeko!DA444,Oeko!FN444)</f>
        <v>6.4278695391146856</v>
      </c>
      <c r="AO444" s="1998">
        <f>IF(Construction!$F$31=Construction!$R$22,Oeko!DB444,Oeko!FO444)</f>
        <v>7.0170361973377933</v>
      </c>
      <c r="AP444" s="1998">
        <f>IF(Construction!$F$31=Construction!$R$22,Oeko!DC444,Oeko!FP444)</f>
        <v>7.6102644757728948</v>
      </c>
      <c r="AQ444" s="1998">
        <f>IF(Construction!$F$31=Construction!$R$22,Oeko!DD444,Oeko!FQ444)</f>
        <v>8.2034927542079927</v>
      </c>
      <c r="AR444" s="1979">
        <f>IF(Construction!$F$31=Construction!$R$22,Oeko!DE444,Oeko!FR444)</f>
        <v>73.071767420672103</v>
      </c>
      <c r="AS444" s="1979">
        <f>IF(Construction!$F$31=Construction!$R$22,Oeko!DF444,Oeko!FS444)</f>
        <v>74.248658234986777</v>
      </c>
      <c r="AT444" s="1979">
        <f>IF(Construction!$F$31=Construction!$R$22,Oeko!DG444,Oeko!FT444)</f>
        <v>75.327474814775229</v>
      </c>
      <c r="AU444" s="1979">
        <f>IF(Construction!$F$31=Construction!$R$22,Oeko!DH444,Oeko!FU444)</f>
        <v>76.504365629089904</v>
      </c>
      <c r="AV444" s="1979">
        <f>IF(Construction!$F$31=Construction!$R$22,Oeko!DI444,Oeko!FV444)</f>
        <v>79.348518430350367</v>
      </c>
      <c r="AW444" s="1998">
        <f>IF(Construction!$F$31=Construction!$R$22,Oeko!DJ444,Oeko!FW444)</f>
        <v>73.749356213090422</v>
      </c>
      <c r="AX444" s="1998">
        <f>IF(Construction!$F$31=Construction!$R$22,Oeko!DK444,Oeko!FX444)</f>
        <v>74.923914318827201</v>
      </c>
      <c r="AY444" s="1998">
        <f>IF(Construction!$F$31=Construction!$R$22,Oeko!DL444,Oeko!FY444)</f>
        <v>76.000592582419259</v>
      </c>
      <c r="AZ444" s="1998">
        <f>IF(Construction!$F$31=Construction!$R$22,Oeko!DM444,Oeko!FZ444)</f>
        <v>77.175150688156037</v>
      </c>
      <c r="BA444" s="1998">
        <f>IF(Construction!$F$31=Construction!$R$22,Oeko!DN444,Oeko!GA444)</f>
        <v>80.01366611035327</v>
      </c>
      <c r="BB444" s="1979">
        <f>IF(Construction!$F$31=Construction!$R$22,Oeko!DO444,Oeko!GB444)</f>
        <v>4.8131759562026684</v>
      </c>
      <c r="BC444" s="1979">
        <f>IF(Construction!$F$31=Construction!$R$22,Oeko!DP444,Oeko!GC444)</f>
        <v>5.159383695551246</v>
      </c>
      <c r="BD444" s="1979">
        <f>IF(Construction!$F$31=Construction!$R$22,Oeko!DQ444,Oeko!GD444)</f>
        <v>5.5055914348998245</v>
      </c>
      <c r="BE444" s="1979">
        <f>IF(Construction!$F$31=Construction!$R$22,Oeko!DR444,Oeko!GE444)</f>
        <v>5.8517991742484048</v>
      </c>
      <c r="BF444" s="1979">
        <f>IF(Construction!$F$31=Construction!$R$22,Oeko!DS444,Oeko!GF444)</f>
        <v>6.1980069135969815</v>
      </c>
      <c r="BG444" s="1998">
        <f>IF(Construction!$F$31=Construction!$R$22,Oeko!DT444,Oeko!GG444)</f>
        <v>5.3849730120744512</v>
      </c>
      <c r="BH444" s="1998">
        <f>IF(Construction!$F$31=Construction!$R$22,Oeko!DU444,Oeko!GH444)</f>
        <v>5.7299058747201812</v>
      </c>
      <c r="BI444" s="1998">
        <f>IF(Construction!$F$31=Construction!$R$22,Oeko!DV444,Oeko!GI444)</f>
        <v>6.0748387373659103</v>
      </c>
      <c r="BJ444" s="1998">
        <f>IF(Construction!$F$31=Construction!$R$22,Oeko!DW444,Oeko!GJ444)</f>
        <v>6.4197716000116403</v>
      </c>
      <c r="BK444" s="2026">
        <f>IF(Construction!$F$31=Construction!$R$22,Oeko!DX444,Oeko!GK444)</f>
        <v>6.7647044626573694</v>
      </c>
      <c r="BN444" s="2022"/>
      <c r="BO444" s="2">
        <v>21</v>
      </c>
      <c r="BP444" s="2" t="str">
        <f>CONCATENATE($U$8," ",GV$15)</f>
        <v xml:space="preserve">Proportion de fenêtres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Proportion de fenêtres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Proportion de fenêtres </v>
      </c>
      <c r="D445" s="1979">
        <f>IF(Construction!$F$31=Construction!$R$22,Oeko!BQ445,Oeko!ED445)</f>
        <v>6.0158232861317442</v>
      </c>
      <c r="E445" s="1979">
        <f>IF(Construction!$F$31=Construction!$R$22,Oeko!BR445,Oeko!EE445)</f>
        <v>6.0660389853628507</v>
      </c>
      <c r="F445" s="1979">
        <f>IF(Construction!$F$31=Construction!$R$22,Oeko!BS445,Oeko!EF445)</f>
        <v>6.6497601730725249</v>
      </c>
      <c r="G445" s="1979">
        <f>IF(Construction!$F$31=Construction!$R$22,Oeko!BT445,Oeko!EG445)</f>
        <v>7.2355121708881942</v>
      </c>
      <c r="H445" s="1979">
        <f>IF(Construction!$F$31=Construction!$R$22,Oeko!BU445,Oeko!EH445)</f>
        <v>7.8212641687038635</v>
      </c>
      <c r="I445" s="1998">
        <f>IF(Construction!$F$31=Construction!$R$22,Oeko!BV445,Oeko!EI445)</f>
        <v>8.1072321626552384</v>
      </c>
      <c r="J445" s="1998">
        <f>IF(Construction!$F$31=Construction!$R$22,Oeko!BW445,Oeko!EJ445)</f>
        <v>8.2411977240374874</v>
      </c>
      <c r="K445" s="1998">
        <f>IF(Construction!$F$31=Construction!$R$22,Oeko!BX445,Oeko!EK445)</f>
        <v>8.8985147233683328</v>
      </c>
      <c r="L445" s="1998">
        <f>IF(Construction!$F$31=Construction!$R$22,Oeko!BY445,Oeko!EL445)</f>
        <v>9.5680165833351438</v>
      </c>
      <c r="M445" s="1998">
        <f>IF(Construction!$F$31=Construction!$R$22,Oeko!BZ445,Oeko!EM445)</f>
        <v>10.237518443301957</v>
      </c>
      <c r="N445" s="1979">
        <f>IF(Construction!$F$31=Construction!$R$22,Oeko!CA445,Oeko!EN445)</f>
        <v>7.1631260359623417</v>
      </c>
      <c r="O445" s="1979">
        <f>IF(Construction!$F$31=Construction!$R$22,Oeko!CB445,Oeko!EO445)</f>
        <v>7.7091065008063087</v>
      </c>
      <c r="P445" s="1979">
        <f>IF(Construction!$F$31=Construction!$R$22,Oeko!CC445,Oeko!EP445)</f>
        <v>6.1129417713120224</v>
      </c>
      <c r="Q445" s="1979">
        <f>IF(Construction!$F$31=Construction!$R$22,Oeko!CD445,Oeko!EQ445)</f>
        <v>6.1233859375714257</v>
      </c>
      <c r="R445" s="1979">
        <f>IF(Construction!$F$31=Construction!$R$22,Oeko!CE445,Oeko!ER445)</f>
        <v>6.1425335757136645</v>
      </c>
      <c r="S445" s="1998">
        <f>IF(Construction!$F$31=Construction!$R$22,Oeko!CF445,Oeko!ES445)</f>
        <v>8.5018400890617603</v>
      </c>
      <c r="T445" s="1998">
        <f>IF(Construction!$F$31=Construction!$R$22,Oeko!CG445,Oeko!ET445)</f>
        <v>9.0739309695542349</v>
      </c>
      <c r="U445" s="1998">
        <f>IF(Construction!$F$31=Construction!$R$22,Oeko!CH445,Oeko!EU445)</f>
        <v>7.5038766557084555</v>
      </c>
      <c r="V445" s="1998">
        <f>IF(Construction!$F$31=Construction!$R$22,Oeko!CI445,Oeko!EV445)</f>
        <v>7.5404312376163674</v>
      </c>
      <c r="W445" s="1998">
        <f>IF(Construction!$F$31=Construction!$R$22,Oeko!CJ445,Oeko!EW445)</f>
        <v>7.6074479711142047</v>
      </c>
      <c r="X445" s="1979">
        <f>IF(Construction!$F$31=Construction!$R$22,Oeko!CK445,Oeko!EX445)</f>
        <v>7.263152314597968</v>
      </c>
      <c r="Y445" s="1979">
        <f>IF(Construction!$F$31=Construction!$R$22,Oeko!CL445,Oeko!EY445)</f>
        <v>7.8133104459456959</v>
      </c>
      <c r="Z445" s="1979">
        <f>IF(Construction!$F$31=Construction!$R$22,Oeko!CM445,Oeko!EZ445)</f>
        <v>6.2213233829551715</v>
      </c>
      <c r="AA445" s="1979">
        <f>IF(Construction!$F$31=Construction!$R$22,Oeko!CN445,Oeko!FA445)</f>
        <v>6.2359452157183357</v>
      </c>
      <c r="AB445" s="1979">
        <f>IF(Construction!$F$31=Construction!$R$22,Oeko!CO445,Oeko!FB445)</f>
        <v>6.2627519091174708</v>
      </c>
      <c r="AC445" s="1998">
        <f>IF(Construction!$F$31=Construction!$R$22,Oeko!CP445,Oeko!FC445)</f>
        <v>3.7977320108592445</v>
      </c>
      <c r="AD445" s="1998">
        <f>IF(Construction!$F$31=Construction!$R$22,Oeko!CQ445,Oeko!FD445)</f>
        <v>3.8708411746750673</v>
      </c>
      <c r="AE445" s="1998">
        <f>IF(Construction!$F$31=Construction!$R$22,Oeko!CR445,Oeko!FE445)</f>
        <v>3.9439503384908892</v>
      </c>
      <c r="AF445" s="1998">
        <f>IF(Construction!$F$31=Construction!$R$22,Oeko!CS445,Oeko!FF445)</f>
        <v>4.0170595023067115</v>
      </c>
      <c r="AG445" s="1998">
        <f>IF(Construction!$F$31=Construction!$R$22,Oeko!CT445,Oeko!FG445)</f>
        <v>4.1510929693023852</v>
      </c>
      <c r="AH445" s="1979">
        <f>IF(Construction!$F$31=Construction!$R$22,Oeko!CU445,Oeko!FH445)</f>
        <v>9.146403352251987</v>
      </c>
      <c r="AI445" s="1979">
        <f>IF(Construction!$F$31=Construction!$R$22,Oeko!CV445,Oeko!FI445)</f>
        <v>9.2926216798836325</v>
      </c>
      <c r="AJ445" s="1979">
        <f>IF(Construction!$F$31=Construction!$R$22,Oeko!CW445,Oeko!FJ445)</f>
        <v>9.4266551468793072</v>
      </c>
      <c r="AK445" s="1979">
        <f>IF(Construction!$F$31=Construction!$R$22,Oeko!CX445,Oeko!FK445)</f>
        <v>9.5728734745109509</v>
      </c>
      <c r="AL445" s="1979">
        <f>IF(Construction!$F$31=Construction!$R$22,Oeko!CY445,Oeko!FL445)</f>
        <v>9.9262344329540895</v>
      </c>
      <c r="AM445" s="1998">
        <f>IF(Construction!$F$31=Construction!$R$22,Oeko!CZ445,Oeko!FM445)</f>
        <v>6.2828367520770989</v>
      </c>
      <c r="AN445" s="1998">
        <f>IF(Construction!$F$31=Construction!$R$22,Oeko!DA445,Oeko!FN445)</f>
        <v>6.3238676026383365</v>
      </c>
      <c r="AO445" s="1998">
        <f>IF(Construction!$F$31=Construction!$R$22,Oeko!DB445,Oeko!FO445)</f>
        <v>6.8963731315721484</v>
      </c>
      <c r="AP445" s="1998">
        <f>IF(Construction!$F$31=Construction!$R$22,Oeko!DC445,Oeko!FP445)</f>
        <v>7.4729402807179497</v>
      </c>
      <c r="AQ445" s="1998">
        <f>IF(Construction!$F$31=Construction!$R$22,Oeko!DD445,Oeko!FQ445)</f>
        <v>8.0495074298637501</v>
      </c>
      <c r="AR445" s="1979">
        <f>IF(Construction!$F$31=Construction!$R$22,Oeko!DE445,Oeko!FR445)</f>
        <v>70.840836113689946</v>
      </c>
      <c r="AS445" s="1979">
        <f>IF(Construction!$F$31=Construction!$R$22,Oeko!DF445,Oeko!FS445)</f>
        <v>72.017726928004635</v>
      </c>
      <c r="AT445" s="1979">
        <f>IF(Construction!$F$31=Construction!$R$22,Oeko!DG445,Oeko!FT445)</f>
        <v>73.096543507793086</v>
      </c>
      <c r="AU445" s="1979">
        <f>IF(Construction!$F$31=Construction!$R$22,Oeko!DH445,Oeko!FU445)</f>
        <v>74.273434322107761</v>
      </c>
      <c r="AV445" s="1979">
        <f>IF(Construction!$F$31=Construction!$R$22,Oeko!DI445,Oeko!FV445)</f>
        <v>77.117587123368224</v>
      </c>
      <c r="AW445" s="1998">
        <f>IF(Construction!$F$31=Construction!$R$22,Oeko!DJ445,Oeko!FW445)</f>
        <v>71.431968888025153</v>
      </c>
      <c r="AX445" s="1998">
        <f>IF(Construction!$F$31=Construction!$R$22,Oeko!DK445,Oeko!FX445)</f>
        <v>72.606526993761932</v>
      </c>
      <c r="AY445" s="1998">
        <f>IF(Construction!$F$31=Construction!$R$22,Oeko!DL445,Oeko!FY445)</f>
        <v>73.68320525735399</v>
      </c>
      <c r="AZ445" s="1998">
        <f>IF(Construction!$F$31=Construction!$R$22,Oeko!DM445,Oeko!FZ445)</f>
        <v>74.857763363090783</v>
      </c>
      <c r="BA445" s="1998">
        <f>IF(Construction!$F$31=Construction!$R$22,Oeko!DN445,Oeko!GA445)</f>
        <v>77.696278785288015</v>
      </c>
      <c r="BB445" s="1979">
        <f>IF(Construction!$F$31=Construction!$R$22,Oeko!DO445,Oeko!GB445)</f>
        <v>4.5557882754537777</v>
      </c>
      <c r="BC445" s="1979">
        <f>IF(Construction!$F$31=Construction!$R$22,Oeko!DP445,Oeko!GC445)</f>
        <v>4.9019960148023562</v>
      </c>
      <c r="BD445" s="1979">
        <f>IF(Construction!$F$31=Construction!$R$22,Oeko!DQ445,Oeko!GD445)</f>
        <v>5.2482037541509348</v>
      </c>
      <c r="BE445" s="1979">
        <f>IF(Construction!$F$31=Construction!$R$22,Oeko!DR445,Oeko!GE445)</f>
        <v>5.5944114934995142</v>
      </c>
      <c r="BF445" s="1979">
        <f>IF(Construction!$F$31=Construction!$R$22,Oeko!DS445,Oeko!GF445)</f>
        <v>5.9406192328480918</v>
      </c>
      <c r="BG445" s="1998">
        <f>IF(Construction!$F$31=Construction!$R$22,Oeko!DT445,Oeko!GG445)</f>
        <v>4.8921624689733196</v>
      </c>
      <c r="BH445" s="1998">
        <f>IF(Construction!$F$31=Construction!$R$22,Oeko!DU445,Oeko!GH445)</f>
        <v>5.2370953316190487</v>
      </c>
      <c r="BI445" s="1998">
        <f>IF(Construction!$F$31=Construction!$R$22,Oeko!DV445,Oeko!GI445)</f>
        <v>5.5820281942647778</v>
      </c>
      <c r="BJ445" s="1998">
        <f>IF(Construction!$F$31=Construction!$R$22,Oeko!DW445,Oeko!GJ445)</f>
        <v>5.9269610569105078</v>
      </c>
      <c r="BK445" s="2026">
        <f>IF(Construction!$F$31=Construction!$R$22,Oeko!DX445,Oeko!GK445)</f>
        <v>6.271893919556236</v>
      </c>
      <c r="BN445" s="2022"/>
      <c r="BO445" s="2">
        <v>22</v>
      </c>
      <c r="BP445" s="2" t="str">
        <f>CONCATENATE($U$8," ",GV$16)</f>
        <v xml:space="preserve">Proportion de fenêtres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Proportion de fenêtres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Proportion de fenêtres </v>
      </c>
      <c r="D446" s="1979">
        <f>IF(Construction!$F$31=Construction!$R$22,Oeko!BQ446,Oeko!ED446)</f>
        <v>5.8164584001613013</v>
      </c>
      <c r="E446" s="1979">
        <f>IF(Construction!$F$31=Construction!$R$22,Oeko!BR446,Oeko!EE446)</f>
        <v>5.8286432607972714</v>
      </c>
      <c r="F446" s="1979">
        <f>IF(Construction!$F$31=Construction!$R$22,Oeko!BS446,Oeko!EF446)</f>
        <v>6.37433360991181</v>
      </c>
      <c r="G446" s="1979">
        <f>IF(Construction!$F$31=Construction!$R$22,Oeko!BT446,Oeko!EG446)</f>
        <v>6.9220547691323437</v>
      </c>
      <c r="H446" s="1979">
        <f>IF(Construction!$F$31=Construction!$R$22,Oeko!BU446,Oeko!EH446)</f>
        <v>7.4697759283528784</v>
      </c>
      <c r="I446" s="1998">
        <f>IF(Construction!$F$31=Construction!$R$22,Oeko!BV446,Oeko!EI446)</f>
        <v>7.7882113571830551</v>
      </c>
      <c r="J446" s="1998">
        <f>IF(Construction!$F$31=Construction!$R$22,Oeko!BW446,Oeko!EJ446)</f>
        <v>7.8613205209988761</v>
      </c>
      <c r="K446" s="1998">
        <f>IF(Construction!$F$31=Construction!$R$22,Oeko!BX446,Oeko!EK446)</f>
        <v>8.4577811227632917</v>
      </c>
      <c r="L446" s="1998">
        <f>IF(Construction!$F$31=Construction!$R$22,Oeko!BY446,Oeko!EL446)</f>
        <v>9.0664265851636774</v>
      </c>
      <c r="M446" s="1998">
        <f>IF(Construction!$F$31=Construction!$R$22,Oeko!BZ446,Oeko!EM446)</f>
        <v>9.675072047564063</v>
      </c>
      <c r="N446" s="1979">
        <f>IF(Construction!$F$31=Construction!$R$22,Oeko!CA446,Oeko!EN446)</f>
        <v>6.8629745810565348</v>
      </c>
      <c r="O446" s="1979">
        <f>IF(Construction!$F$31=Construction!$R$22,Oeko!CB446,Oeko!EO446)</f>
        <v>7.4089550459005027</v>
      </c>
      <c r="P446" s="1979">
        <f>IF(Construction!$F$31=Construction!$R$22,Oeko!CC446,Oeko!EP446)</f>
        <v>5.8127903164062156</v>
      </c>
      <c r="Q446" s="1979">
        <f>IF(Construction!$F$31=Construction!$R$22,Oeko!CD446,Oeko!EQ446)</f>
        <v>5.8232344826656179</v>
      </c>
      <c r="R446" s="1979">
        <f>IF(Construction!$F$31=Construction!$R$22,Oeko!CE446,Oeko!ER446)</f>
        <v>5.8423821208078577</v>
      </c>
      <c r="S446" s="1998">
        <f>IF(Construction!$F$31=Construction!$R$22,Oeko!CF446,Oeko!ES446)</f>
        <v>7.8544545980884513</v>
      </c>
      <c r="T446" s="1998">
        <f>IF(Construction!$F$31=Construction!$R$22,Oeko!CG446,Oeko!ET446)</f>
        <v>8.4265454785809268</v>
      </c>
      <c r="U446" s="1998">
        <f>IF(Construction!$F$31=Construction!$R$22,Oeko!CH446,Oeko!EU446)</f>
        <v>6.8564911647351483</v>
      </c>
      <c r="V446" s="1998">
        <f>IF(Construction!$F$31=Construction!$R$22,Oeko!CI446,Oeko!EV446)</f>
        <v>6.8930457466430592</v>
      </c>
      <c r="W446" s="1998">
        <f>IF(Construction!$F$31=Construction!$R$22,Oeko!CJ446,Oeko!EW446)</f>
        <v>6.9600624801408957</v>
      </c>
      <c r="X446" s="1979">
        <f>IF(Construction!$F$31=Construction!$R$22,Oeko!CK446,Oeko!EX446)</f>
        <v>7.0028529016040251</v>
      </c>
      <c r="Y446" s="1979">
        <f>IF(Construction!$F$31=Construction!$R$22,Oeko!CL446,Oeko!EY446)</f>
        <v>7.5530110329517539</v>
      </c>
      <c r="Z446" s="1979">
        <f>IF(Construction!$F$31=Construction!$R$22,Oeko!CM446,Oeko!EZ446)</f>
        <v>5.9610239699612286</v>
      </c>
      <c r="AA446" s="1979">
        <f>IF(Construction!$F$31=Construction!$R$22,Oeko!CN446,Oeko!FA446)</f>
        <v>5.9756458027243928</v>
      </c>
      <c r="AB446" s="1979">
        <f>IF(Construction!$F$31=Construction!$R$22,Oeko!CO446,Oeko!FB446)</f>
        <v>6.0024524961235279</v>
      </c>
      <c r="AC446" s="1998">
        <f>IF(Construction!$F$31=Construction!$R$22,Oeko!CP446,Oeko!FC446)</f>
        <v>3.5196505158729834</v>
      </c>
      <c r="AD446" s="1998">
        <f>IF(Construction!$F$31=Construction!$R$22,Oeko!CQ446,Oeko!FD446)</f>
        <v>3.5927596796888057</v>
      </c>
      <c r="AE446" s="1998">
        <f>IF(Construction!$F$31=Construction!$R$22,Oeko!CR446,Oeko!FE446)</f>
        <v>3.6658688435046276</v>
      </c>
      <c r="AF446" s="1998">
        <f>IF(Construction!$F$31=Construction!$R$22,Oeko!CS446,Oeko!FF446)</f>
        <v>3.7389780073204499</v>
      </c>
      <c r="AG446" s="1998">
        <f>IF(Construction!$F$31=Construction!$R$22,Oeko!CT446,Oeko!FG446)</f>
        <v>3.8730114743161232</v>
      </c>
      <c r="AH446" s="1979">
        <f>IF(Construction!$F$31=Construction!$R$22,Oeko!CU446,Oeko!FH446)</f>
        <v>8.5241769395956624</v>
      </c>
      <c r="AI446" s="1979">
        <f>IF(Construction!$F$31=Construction!$R$22,Oeko!CV446,Oeko!FI446)</f>
        <v>8.6703952672273079</v>
      </c>
      <c r="AJ446" s="1979">
        <f>IF(Construction!$F$31=Construction!$R$22,Oeko!CW446,Oeko!FJ446)</f>
        <v>8.8044287342229826</v>
      </c>
      <c r="AK446" s="1979">
        <f>IF(Construction!$F$31=Construction!$R$22,Oeko!CX446,Oeko!FK446)</f>
        <v>8.9506470618546281</v>
      </c>
      <c r="AL446" s="1979">
        <f>IF(Construction!$F$31=Construction!$R$22,Oeko!CY446,Oeko!FL446)</f>
        <v>9.3040080202977666</v>
      </c>
      <c r="AM446" s="1998">
        <f>IF(Construction!$F$31=Construction!$R$22,Oeko!CZ446,Oeko!FM446)</f>
        <v>6.1954959448900473</v>
      </c>
      <c r="AN446" s="1998">
        <f>IF(Construction!$F$31=Construction!$R$22,Oeko!DA446,Oeko!FN446)</f>
        <v>6.2198656661619873</v>
      </c>
      <c r="AO446" s="1998">
        <f>IF(Construction!$F$31=Construction!$R$22,Oeko!DB446,Oeko!FO446)</f>
        <v>6.7757100658065017</v>
      </c>
      <c r="AP446" s="1998">
        <f>IF(Construction!$F$31=Construction!$R$22,Oeko!DC446,Oeko!FP446)</f>
        <v>7.3356160856630055</v>
      </c>
      <c r="AQ446" s="1998">
        <f>IF(Construction!$F$31=Construction!$R$22,Oeko!DD446,Oeko!FQ446)</f>
        <v>7.8955221055195111</v>
      </c>
      <c r="AR446" s="1979">
        <f>IF(Construction!$F$31=Construction!$R$22,Oeko!DE446,Oeko!FR446)</f>
        <v>68.609904806707803</v>
      </c>
      <c r="AS446" s="1979">
        <f>IF(Construction!$F$31=Construction!$R$22,Oeko!DF446,Oeko!FS446)</f>
        <v>69.786795621022492</v>
      </c>
      <c r="AT446" s="1979">
        <f>IF(Construction!$F$31=Construction!$R$22,Oeko!DG446,Oeko!FT446)</f>
        <v>70.865612200810943</v>
      </c>
      <c r="AU446" s="1979">
        <f>IF(Construction!$F$31=Construction!$R$22,Oeko!DH446,Oeko!FU446)</f>
        <v>72.042503015125618</v>
      </c>
      <c r="AV446" s="1979">
        <f>IF(Construction!$F$31=Construction!$R$22,Oeko!DI446,Oeko!FV446)</f>
        <v>74.886655816386082</v>
      </c>
      <c r="AW446" s="1998">
        <f>IF(Construction!$F$31=Construction!$R$22,Oeko!DJ446,Oeko!FW446)</f>
        <v>69.114581562959884</v>
      </c>
      <c r="AX446" s="1998">
        <f>IF(Construction!$F$31=Construction!$R$22,Oeko!DK446,Oeko!FX446)</f>
        <v>70.289139668696677</v>
      </c>
      <c r="AY446" s="1998">
        <f>IF(Construction!$F$31=Construction!$R$22,Oeko!DL446,Oeko!FY446)</f>
        <v>71.365817932288721</v>
      </c>
      <c r="AZ446" s="1998">
        <f>IF(Construction!$F$31=Construction!$R$22,Oeko!DM446,Oeko!FZ446)</f>
        <v>72.540376038025514</v>
      </c>
      <c r="BA446" s="1998">
        <f>IF(Construction!$F$31=Construction!$R$22,Oeko!DN446,Oeko!GA446)</f>
        <v>75.378891460222746</v>
      </c>
      <c r="BB446" s="1979">
        <f>IF(Construction!$F$31=Construction!$R$22,Oeko!DO446,Oeko!GB446)</f>
        <v>4.2984005947048871</v>
      </c>
      <c r="BC446" s="1979">
        <f>IF(Construction!$F$31=Construction!$R$22,Oeko!DP446,Oeko!GC446)</f>
        <v>4.6446083340534656</v>
      </c>
      <c r="BD446" s="1979">
        <f>IF(Construction!$F$31=Construction!$R$22,Oeko!DQ446,Oeko!GD446)</f>
        <v>4.990816073402045</v>
      </c>
      <c r="BE446" s="1979">
        <f>IF(Construction!$F$31=Construction!$R$22,Oeko!DR446,Oeko!GE446)</f>
        <v>5.3370238127506235</v>
      </c>
      <c r="BF446" s="1979">
        <f>IF(Construction!$F$31=Construction!$R$22,Oeko!DS446,Oeko!GF446)</f>
        <v>5.6832315520992021</v>
      </c>
      <c r="BG446" s="1998">
        <f>IF(Construction!$F$31=Construction!$R$22,Oeko!DT446,Oeko!GG446)</f>
        <v>4.399351925872188</v>
      </c>
      <c r="BH446" s="1998">
        <f>IF(Construction!$F$31=Construction!$R$22,Oeko!DU446,Oeko!GH446)</f>
        <v>4.7442847885179162</v>
      </c>
      <c r="BI446" s="1998">
        <f>IF(Construction!$F$31=Construction!$R$22,Oeko!DV446,Oeko!GI446)</f>
        <v>5.0892176511636453</v>
      </c>
      <c r="BJ446" s="1998">
        <f>IF(Construction!$F$31=Construction!$R$22,Oeko!DW446,Oeko!GJ446)</f>
        <v>5.4341505138093753</v>
      </c>
      <c r="BK446" s="2026">
        <f>IF(Construction!$F$31=Construction!$R$22,Oeko!DX446,Oeko!GK446)</f>
        <v>5.7790833764551044</v>
      </c>
      <c r="BN446" s="2022"/>
      <c r="BO446" s="2">
        <v>23</v>
      </c>
      <c r="BP446" s="2" t="str">
        <f>CONCATENATE($U$8," ",GV$17)</f>
        <v xml:space="preserve">Proportion de fenêtres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Proportion de fenêtres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IF(Construction!$F$31=Construction!$R$22,Oeko!BQ447,Oeko!ED447)</f>
        <v>1</v>
      </c>
      <c r="E447" s="1979">
        <f>IF(Construction!$F$31=Construction!$R$22,Oeko!BR447,Oeko!EE447)</f>
        <v>1</v>
      </c>
      <c r="F447" s="1979">
        <f>IF(Construction!$F$31=Construction!$R$22,Oeko!BS447,Oeko!EF447)</f>
        <v>1</v>
      </c>
      <c r="G447" s="1979">
        <f>IF(Construction!$F$31=Construction!$R$22,Oeko!BT447,Oeko!EG447)</f>
        <v>1</v>
      </c>
      <c r="H447" s="1979">
        <f>IF(Construction!$F$31=Construction!$R$22,Oeko!BU447,Oeko!EH447)</f>
        <v>1</v>
      </c>
      <c r="I447" s="1998">
        <f>IF(Construction!$F$31=Construction!$R$22,Oeko!BV447,Oeko!EI447)</f>
        <v>1</v>
      </c>
      <c r="J447" s="1998">
        <f>IF(Construction!$F$31=Construction!$R$22,Oeko!BW447,Oeko!EJ447)</f>
        <v>1</v>
      </c>
      <c r="K447" s="1998">
        <f>IF(Construction!$F$31=Construction!$R$22,Oeko!BX447,Oeko!EK447)</f>
        <v>1</v>
      </c>
      <c r="L447" s="1998">
        <f>IF(Construction!$F$31=Construction!$R$22,Oeko!BY447,Oeko!EL447)</f>
        <v>1</v>
      </c>
      <c r="M447" s="1998">
        <f>IF(Construction!$F$31=Construction!$R$22,Oeko!BZ447,Oeko!EM447)</f>
        <v>1</v>
      </c>
      <c r="N447" s="1979">
        <f>IF(Construction!$F$31=Construction!$R$22,Oeko!CA447,Oeko!EN447)</f>
        <v>1.0000000000000002</v>
      </c>
      <c r="O447" s="1979">
        <f>IF(Construction!$F$31=Construction!$R$22,Oeko!CB447,Oeko!EO447)</f>
        <v>1.0000000000000002</v>
      </c>
      <c r="P447" s="1979">
        <f>IF(Construction!$F$31=Construction!$R$22,Oeko!CC447,Oeko!EP447)</f>
        <v>1.0000000000000002</v>
      </c>
      <c r="Q447" s="1979">
        <f>IF(Construction!$F$31=Construction!$R$22,Oeko!CD447,Oeko!EQ447)</f>
        <v>1.0000000000000002</v>
      </c>
      <c r="R447" s="1979">
        <f>IF(Construction!$F$31=Construction!$R$22,Oeko!CE447,Oeko!ER447)</f>
        <v>1.0000000000000002</v>
      </c>
      <c r="S447" s="1998">
        <f>IF(Construction!$F$31=Construction!$R$22,Oeko!CF447,Oeko!ES447)</f>
        <v>1</v>
      </c>
      <c r="T447" s="1998">
        <f>IF(Construction!$F$31=Construction!$R$22,Oeko!CG447,Oeko!ET447)</f>
        <v>1</v>
      </c>
      <c r="U447" s="1998">
        <f>IF(Construction!$F$31=Construction!$R$22,Oeko!CH447,Oeko!EU447)</f>
        <v>1</v>
      </c>
      <c r="V447" s="1998">
        <f>IF(Construction!$F$31=Construction!$R$22,Oeko!CI447,Oeko!EV447)</f>
        <v>1</v>
      </c>
      <c r="W447" s="1998">
        <f>IF(Construction!$F$31=Construction!$R$22,Oeko!CJ447,Oeko!EW447)</f>
        <v>1</v>
      </c>
      <c r="X447" s="1979">
        <f>IF(Construction!$F$31=Construction!$R$22,Oeko!CK447,Oeko!EX447)</f>
        <v>1</v>
      </c>
      <c r="Y447" s="1979">
        <f>IF(Construction!$F$31=Construction!$R$22,Oeko!CL447,Oeko!EY447)</f>
        <v>1</v>
      </c>
      <c r="Z447" s="1979">
        <f>IF(Construction!$F$31=Construction!$R$22,Oeko!CM447,Oeko!EZ447)</f>
        <v>1</v>
      </c>
      <c r="AA447" s="1979">
        <f>IF(Construction!$F$31=Construction!$R$22,Oeko!CN447,Oeko!FA447)</f>
        <v>1</v>
      </c>
      <c r="AB447" s="1979">
        <f>IF(Construction!$F$31=Construction!$R$22,Oeko!CO447,Oeko!FB447)</f>
        <v>1</v>
      </c>
      <c r="AC447" s="1998">
        <f>IF(Construction!$F$31=Construction!$R$22,Oeko!CP447,Oeko!FC447)</f>
        <v>1</v>
      </c>
      <c r="AD447" s="1998">
        <f>IF(Construction!$F$31=Construction!$R$22,Oeko!CQ447,Oeko!FD447)</f>
        <v>1</v>
      </c>
      <c r="AE447" s="1998">
        <f>IF(Construction!$F$31=Construction!$R$22,Oeko!CR447,Oeko!FE447)</f>
        <v>1</v>
      </c>
      <c r="AF447" s="1998">
        <f>IF(Construction!$F$31=Construction!$R$22,Oeko!CS447,Oeko!FF447)</f>
        <v>1</v>
      </c>
      <c r="AG447" s="1998">
        <f>IF(Construction!$F$31=Construction!$R$22,Oeko!CT447,Oeko!FG447)</f>
        <v>1</v>
      </c>
      <c r="AH447" s="1979">
        <f>IF(Construction!$F$31=Construction!$R$22,Oeko!CU447,Oeko!FH447)</f>
        <v>1</v>
      </c>
      <c r="AI447" s="1979">
        <f>IF(Construction!$F$31=Construction!$R$22,Oeko!CV447,Oeko!FI447)</f>
        <v>1</v>
      </c>
      <c r="AJ447" s="1979">
        <f>IF(Construction!$F$31=Construction!$R$22,Oeko!CW447,Oeko!FJ447)</f>
        <v>1</v>
      </c>
      <c r="AK447" s="1979">
        <f>IF(Construction!$F$31=Construction!$R$22,Oeko!CX447,Oeko!FK447)</f>
        <v>1</v>
      </c>
      <c r="AL447" s="1979">
        <f>IF(Construction!$F$31=Construction!$R$22,Oeko!CY447,Oeko!FL447)</f>
        <v>1</v>
      </c>
      <c r="AM447" s="1998">
        <f>IF(Construction!$F$31=Construction!$R$22,Oeko!CZ447,Oeko!FM447)</f>
        <v>0.66666666666666663</v>
      </c>
      <c r="AN447" s="1998">
        <f>IF(Construction!$F$31=Construction!$R$22,Oeko!DA447,Oeko!FN447)</f>
        <v>0.66666666666666663</v>
      </c>
      <c r="AO447" s="1998">
        <f>IF(Construction!$F$31=Construction!$R$22,Oeko!DB447,Oeko!FO447)</f>
        <v>0.66666666666666663</v>
      </c>
      <c r="AP447" s="1998">
        <f>IF(Construction!$F$31=Construction!$R$22,Oeko!DC447,Oeko!FP447)</f>
        <v>0.66666666666666663</v>
      </c>
      <c r="AQ447" s="1998">
        <f>IF(Construction!$F$31=Construction!$R$22,Oeko!DD447,Oeko!FQ447)</f>
        <v>0.66666666666666663</v>
      </c>
      <c r="AR447" s="1979">
        <f>IF(Construction!$F$31=Construction!$R$22,Oeko!DE447,Oeko!FR447)</f>
        <v>8.1914540462959007</v>
      </c>
      <c r="AS447" s="1979">
        <f>IF(Construction!$F$31=Construction!$R$22,Oeko!DF447,Oeko!FS447)</f>
        <v>8.1914540462959007</v>
      </c>
      <c r="AT447" s="1979">
        <f>IF(Construction!$F$31=Construction!$R$22,Oeko!DG447,Oeko!FT447)</f>
        <v>8.1914540462959007</v>
      </c>
      <c r="AU447" s="1979">
        <f>IF(Construction!$F$31=Construction!$R$22,Oeko!DH447,Oeko!FU447)</f>
        <v>8.1914540462959007</v>
      </c>
      <c r="AV447" s="1979">
        <f>IF(Construction!$F$31=Construction!$R$22,Oeko!DI447,Oeko!FV447)</f>
        <v>8.1914540462959007</v>
      </c>
      <c r="AW447" s="1998">
        <f>IF(Construction!$F$31=Construction!$R$22,Oeko!DJ447,Oeko!FW447)</f>
        <v>8.1771999062029916</v>
      </c>
      <c r="AX447" s="1998">
        <f>IF(Construction!$F$31=Construction!$R$22,Oeko!DK447,Oeko!FX447)</f>
        <v>8.1771999062029916</v>
      </c>
      <c r="AY447" s="1998">
        <f>IF(Construction!$F$31=Construction!$R$22,Oeko!DL447,Oeko!FY447)</f>
        <v>8.1771999062029916</v>
      </c>
      <c r="AZ447" s="1998">
        <f>IF(Construction!$F$31=Construction!$R$22,Oeko!DM447,Oeko!FZ447)</f>
        <v>8.1771999062029916</v>
      </c>
      <c r="BA447" s="1998">
        <f>IF(Construction!$F$31=Construction!$R$22,Oeko!DN447,Oeko!GA447)</f>
        <v>8.1771999062029916</v>
      </c>
      <c r="BB447" s="1979">
        <f>IF(Construction!$F$31=Construction!$R$22,Oeko!DO447,Oeko!GB447)</f>
        <v>1</v>
      </c>
      <c r="BC447" s="1979">
        <f>IF(Construction!$F$31=Construction!$R$22,Oeko!DP447,Oeko!GC447)</f>
        <v>1</v>
      </c>
      <c r="BD447" s="1979">
        <f>IF(Construction!$F$31=Construction!$R$22,Oeko!DQ447,Oeko!GD447)</f>
        <v>1</v>
      </c>
      <c r="BE447" s="1979">
        <f>IF(Construction!$F$31=Construction!$R$22,Oeko!DR447,Oeko!GE447)</f>
        <v>1</v>
      </c>
      <c r="BF447" s="1979">
        <f>IF(Construction!$F$31=Construction!$R$22,Oeko!DS447,Oeko!GF447)</f>
        <v>1</v>
      </c>
      <c r="BG447" s="1998">
        <f>IF(Construction!$F$31=Construction!$R$22,Oeko!DT447,Oeko!GG447)</f>
        <v>1</v>
      </c>
      <c r="BH447" s="1998">
        <f>IF(Construction!$F$31=Construction!$R$22,Oeko!DU447,Oeko!GH447)</f>
        <v>1</v>
      </c>
      <c r="BI447" s="1998">
        <f>IF(Construction!$F$31=Construction!$R$22,Oeko!DV447,Oeko!GI447)</f>
        <v>1</v>
      </c>
      <c r="BJ447" s="1998">
        <f>IF(Construction!$F$31=Construction!$R$22,Oeko!DW447,Oeko!GJ447)</f>
        <v>1</v>
      </c>
      <c r="BK447" s="2026">
        <f>IF(Construction!$F$31=Construction!$R$22,Oeko!DX447,Oeko!GK447)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IF(Construction!$F$31=Construction!$R$22,Oeko!BQ448,Oeko!ED448)</f>
        <v>1</v>
      </c>
      <c r="E448" s="1979">
        <f>IF(Construction!$F$31=Construction!$R$22,Oeko!BR448,Oeko!EE448)</f>
        <v>1</v>
      </c>
      <c r="F448" s="1979">
        <f>IF(Construction!$F$31=Construction!$R$22,Oeko!BS448,Oeko!EF448)</f>
        <v>1</v>
      </c>
      <c r="G448" s="1979">
        <f>IF(Construction!$F$31=Construction!$R$22,Oeko!BT448,Oeko!EG448)</f>
        <v>1</v>
      </c>
      <c r="H448" s="1979">
        <f>IF(Construction!$F$31=Construction!$R$22,Oeko!BU448,Oeko!EH448)</f>
        <v>1</v>
      </c>
      <c r="I448" s="1998">
        <f>IF(Construction!$F$31=Construction!$R$22,Oeko!BV448,Oeko!EI448)</f>
        <v>1</v>
      </c>
      <c r="J448" s="1998">
        <f>IF(Construction!$F$31=Construction!$R$22,Oeko!BW448,Oeko!EJ448)</f>
        <v>1</v>
      </c>
      <c r="K448" s="1998">
        <f>IF(Construction!$F$31=Construction!$R$22,Oeko!BX448,Oeko!EK448)</f>
        <v>1</v>
      </c>
      <c r="L448" s="1998">
        <f>IF(Construction!$F$31=Construction!$R$22,Oeko!BY448,Oeko!EL448)</f>
        <v>1</v>
      </c>
      <c r="M448" s="1998">
        <f>IF(Construction!$F$31=Construction!$R$22,Oeko!BZ448,Oeko!EM448)</f>
        <v>1</v>
      </c>
      <c r="N448" s="1979">
        <f>IF(Construction!$F$31=Construction!$R$22,Oeko!CA448,Oeko!EN448)</f>
        <v>1</v>
      </c>
      <c r="O448" s="1979">
        <f>IF(Construction!$F$31=Construction!$R$22,Oeko!CB448,Oeko!EO448)</f>
        <v>1</v>
      </c>
      <c r="P448" s="1979">
        <f>IF(Construction!$F$31=Construction!$R$22,Oeko!CC448,Oeko!EP448)</f>
        <v>1</v>
      </c>
      <c r="Q448" s="1979">
        <f>IF(Construction!$F$31=Construction!$R$22,Oeko!CD448,Oeko!EQ448)</f>
        <v>1</v>
      </c>
      <c r="R448" s="1979">
        <f>IF(Construction!$F$31=Construction!$R$22,Oeko!CE448,Oeko!ER448)</f>
        <v>1</v>
      </c>
      <c r="S448" s="1998">
        <f>IF(Construction!$F$31=Construction!$R$22,Oeko!CF448,Oeko!ES448)</f>
        <v>1.0000000000000002</v>
      </c>
      <c r="T448" s="1998">
        <f>IF(Construction!$F$31=Construction!$R$22,Oeko!CG448,Oeko!ET448)</f>
        <v>1.0000000000000002</v>
      </c>
      <c r="U448" s="1998">
        <f>IF(Construction!$F$31=Construction!$R$22,Oeko!CH448,Oeko!EU448)</f>
        <v>1.0000000000000002</v>
      </c>
      <c r="V448" s="1998">
        <f>IF(Construction!$F$31=Construction!$R$22,Oeko!CI448,Oeko!EV448)</f>
        <v>1.0000000000000002</v>
      </c>
      <c r="W448" s="1998">
        <f>IF(Construction!$F$31=Construction!$R$22,Oeko!CJ448,Oeko!EW448)</f>
        <v>1.0000000000000002</v>
      </c>
      <c r="X448" s="1979">
        <f>IF(Construction!$F$31=Construction!$R$22,Oeko!CK448,Oeko!EX448)</f>
        <v>1</v>
      </c>
      <c r="Y448" s="1979">
        <f>IF(Construction!$F$31=Construction!$R$22,Oeko!CL448,Oeko!EY448)</f>
        <v>1</v>
      </c>
      <c r="Z448" s="1979">
        <f>IF(Construction!$F$31=Construction!$R$22,Oeko!CM448,Oeko!EZ448)</f>
        <v>1</v>
      </c>
      <c r="AA448" s="1979">
        <f>IF(Construction!$F$31=Construction!$R$22,Oeko!CN448,Oeko!FA448)</f>
        <v>1</v>
      </c>
      <c r="AB448" s="1979">
        <f>IF(Construction!$F$31=Construction!$R$22,Oeko!CO448,Oeko!FB448)</f>
        <v>1</v>
      </c>
      <c r="AC448" s="1998">
        <f>IF(Construction!$F$31=Construction!$R$22,Oeko!CP448,Oeko!FC448)</f>
        <v>1</v>
      </c>
      <c r="AD448" s="1998">
        <f>IF(Construction!$F$31=Construction!$R$22,Oeko!CQ448,Oeko!FD448)</f>
        <v>1</v>
      </c>
      <c r="AE448" s="1998">
        <f>IF(Construction!$F$31=Construction!$R$22,Oeko!CR448,Oeko!FE448)</f>
        <v>1</v>
      </c>
      <c r="AF448" s="1998">
        <f>IF(Construction!$F$31=Construction!$R$22,Oeko!CS448,Oeko!FF448)</f>
        <v>1</v>
      </c>
      <c r="AG448" s="1998">
        <f>IF(Construction!$F$31=Construction!$R$22,Oeko!CT448,Oeko!FG448)</f>
        <v>1</v>
      </c>
      <c r="AH448" s="1979">
        <f>IF(Construction!$F$31=Construction!$R$22,Oeko!CU448,Oeko!FH448)</f>
        <v>1</v>
      </c>
      <c r="AI448" s="1979">
        <f>IF(Construction!$F$31=Construction!$R$22,Oeko!CV448,Oeko!FI448)</f>
        <v>1</v>
      </c>
      <c r="AJ448" s="1979">
        <f>IF(Construction!$F$31=Construction!$R$22,Oeko!CW448,Oeko!FJ448)</f>
        <v>1</v>
      </c>
      <c r="AK448" s="1979">
        <f>IF(Construction!$F$31=Construction!$R$22,Oeko!CX448,Oeko!FK448)</f>
        <v>1</v>
      </c>
      <c r="AL448" s="1979">
        <f>IF(Construction!$F$31=Construction!$R$22,Oeko!CY448,Oeko!FL448)</f>
        <v>1</v>
      </c>
      <c r="AM448" s="1998">
        <f>IF(Construction!$F$31=Construction!$R$22,Oeko!CZ448,Oeko!FM448)</f>
        <v>0.66666666666666663</v>
      </c>
      <c r="AN448" s="1998">
        <f>IF(Construction!$F$31=Construction!$R$22,Oeko!DA448,Oeko!FN448)</f>
        <v>0.66666666666666663</v>
      </c>
      <c r="AO448" s="1998">
        <f>IF(Construction!$F$31=Construction!$R$22,Oeko!DB448,Oeko!FO448)</f>
        <v>0.66666666666666663</v>
      </c>
      <c r="AP448" s="1998">
        <f>IF(Construction!$F$31=Construction!$R$22,Oeko!DC448,Oeko!FP448)</f>
        <v>0.66666666666666663</v>
      </c>
      <c r="AQ448" s="1998">
        <f>IF(Construction!$F$31=Construction!$R$22,Oeko!DD448,Oeko!FQ448)</f>
        <v>0.66666666666666663</v>
      </c>
      <c r="AR448" s="1979">
        <f>IF(Construction!$F$31=Construction!$R$22,Oeko!DE448,Oeko!FR448)</f>
        <v>6.393590534721926</v>
      </c>
      <c r="AS448" s="1979">
        <f>IF(Construction!$F$31=Construction!$R$22,Oeko!DF448,Oeko!FS448)</f>
        <v>6.393590534721926</v>
      </c>
      <c r="AT448" s="1979">
        <f>IF(Construction!$F$31=Construction!$R$22,Oeko!DG448,Oeko!FT448)</f>
        <v>6.393590534721926</v>
      </c>
      <c r="AU448" s="1979">
        <f>IF(Construction!$F$31=Construction!$R$22,Oeko!DH448,Oeko!FU448)</f>
        <v>6.393590534721926</v>
      </c>
      <c r="AV448" s="1979">
        <f>IF(Construction!$F$31=Construction!$R$22,Oeko!DI448,Oeko!FV448)</f>
        <v>6.393590534721926</v>
      </c>
      <c r="AW448" s="1998">
        <f>IF(Construction!$F$31=Construction!$R$22,Oeko!DJ448,Oeko!FW448)</f>
        <v>6.3828999296522442</v>
      </c>
      <c r="AX448" s="1998">
        <f>IF(Construction!$F$31=Construction!$R$22,Oeko!DK448,Oeko!FX448)</f>
        <v>6.3828999296522442</v>
      </c>
      <c r="AY448" s="1998">
        <f>IF(Construction!$F$31=Construction!$R$22,Oeko!DL448,Oeko!FY448)</f>
        <v>6.3828999296522442</v>
      </c>
      <c r="AZ448" s="1998">
        <f>IF(Construction!$F$31=Construction!$R$22,Oeko!DM448,Oeko!FZ448)</f>
        <v>6.3828999296522442</v>
      </c>
      <c r="BA448" s="1998">
        <f>IF(Construction!$F$31=Construction!$R$22,Oeko!DN448,Oeko!GA448)</f>
        <v>6.3828999296522442</v>
      </c>
      <c r="BB448" s="1979">
        <f>IF(Construction!$F$31=Construction!$R$22,Oeko!DO448,Oeko!GB448)</f>
        <v>0.78115301620803501</v>
      </c>
      <c r="BC448" s="1979">
        <f>IF(Construction!$F$31=Construction!$R$22,Oeko!DP448,Oeko!GC448)</f>
        <v>0.78115301620803501</v>
      </c>
      <c r="BD448" s="1979">
        <f>IF(Construction!$F$31=Construction!$R$22,Oeko!DQ448,Oeko!GD448)</f>
        <v>0.78115301620803501</v>
      </c>
      <c r="BE448" s="1979">
        <f>IF(Construction!$F$31=Construction!$R$22,Oeko!DR448,Oeko!GE448)</f>
        <v>0.78115301620803501</v>
      </c>
      <c r="BF448" s="1979">
        <f>IF(Construction!$F$31=Construction!$R$22,Oeko!DS448,Oeko!GF448)</f>
        <v>0.78115301620803501</v>
      </c>
      <c r="BG448" s="1998">
        <f>IF(Construction!$F$31=Construction!$R$22,Oeko!DT448,Oeko!GG448)</f>
        <v>0.78195889917775152</v>
      </c>
      <c r="BH448" s="1998">
        <f>IF(Construction!$F$31=Construction!$R$22,Oeko!DU448,Oeko!GH448)</f>
        <v>0.78195889917775152</v>
      </c>
      <c r="BI448" s="1998">
        <f>IF(Construction!$F$31=Construction!$R$22,Oeko!DV448,Oeko!GI448)</f>
        <v>0.78195889917775152</v>
      </c>
      <c r="BJ448" s="1998">
        <f>IF(Construction!$F$31=Construction!$R$22,Oeko!DW448,Oeko!GJ448)</f>
        <v>0.78195889917775152</v>
      </c>
      <c r="BK448" s="2026">
        <f>IF(Construction!$F$31=Construction!$R$22,Oeko!DX448,Oeko!GK448)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IF(Construction!$F$31=Construction!$R$22,Oeko!BQ449,Oeko!ED449)</f>
        <v>1</v>
      </c>
      <c r="E449" s="1979">
        <f>IF(Construction!$F$31=Construction!$R$22,Oeko!BR449,Oeko!EE449)</f>
        <v>1</v>
      </c>
      <c r="F449" s="1979">
        <f>IF(Construction!$F$31=Construction!$R$22,Oeko!BS449,Oeko!EF449)</f>
        <v>1</v>
      </c>
      <c r="G449" s="1979">
        <f>IF(Construction!$F$31=Construction!$R$22,Oeko!BT449,Oeko!EG449)</f>
        <v>1</v>
      </c>
      <c r="H449" s="1979">
        <f>IF(Construction!$F$31=Construction!$R$22,Oeko!BU449,Oeko!EH449)</f>
        <v>1</v>
      </c>
      <c r="I449" s="1998">
        <f>IF(Construction!$F$31=Construction!$R$22,Oeko!BV449,Oeko!EI449)</f>
        <v>1</v>
      </c>
      <c r="J449" s="1998">
        <f>IF(Construction!$F$31=Construction!$R$22,Oeko!BW449,Oeko!EJ449)</f>
        <v>1</v>
      </c>
      <c r="K449" s="1998">
        <f>IF(Construction!$F$31=Construction!$R$22,Oeko!BX449,Oeko!EK449)</f>
        <v>1</v>
      </c>
      <c r="L449" s="1998">
        <f>IF(Construction!$F$31=Construction!$R$22,Oeko!BY449,Oeko!EL449)</f>
        <v>1</v>
      </c>
      <c r="M449" s="1998">
        <f>IF(Construction!$F$31=Construction!$R$22,Oeko!BZ449,Oeko!EM449)</f>
        <v>1</v>
      </c>
      <c r="N449" s="1979">
        <f>IF(Construction!$F$31=Construction!$R$22,Oeko!CA449,Oeko!EN449)</f>
        <v>1</v>
      </c>
      <c r="O449" s="1979">
        <f>IF(Construction!$F$31=Construction!$R$22,Oeko!CB449,Oeko!EO449)</f>
        <v>1</v>
      </c>
      <c r="P449" s="1979">
        <f>IF(Construction!$F$31=Construction!$R$22,Oeko!CC449,Oeko!EP449)</f>
        <v>1</v>
      </c>
      <c r="Q449" s="1979">
        <f>IF(Construction!$F$31=Construction!$R$22,Oeko!CD449,Oeko!EQ449)</f>
        <v>1</v>
      </c>
      <c r="R449" s="1979">
        <f>IF(Construction!$F$31=Construction!$R$22,Oeko!CE449,Oeko!ER449)</f>
        <v>1</v>
      </c>
      <c r="S449" s="1998">
        <f>IF(Construction!$F$31=Construction!$R$22,Oeko!CF449,Oeko!ES449)</f>
        <v>1</v>
      </c>
      <c r="T449" s="1998">
        <f>IF(Construction!$F$31=Construction!$R$22,Oeko!CG449,Oeko!ET449)</f>
        <v>1</v>
      </c>
      <c r="U449" s="1998">
        <f>IF(Construction!$F$31=Construction!$R$22,Oeko!CH449,Oeko!EU449)</f>
        <v>1</v>
      </c>
      <c r="V449" s="1998">
        <f>IF(Construction!$F$31=Construction!$R$22,Oeko!CI449,Oeko!EV449)</f>
        <v>1</v>
      </c>
      <c r="W449" s="1998">
        <f>IF(Construction!$F$31=Construction!$R$22,Oeko!CJ449,Oeko!EW449)</f>
        <v>1</v>
      </c>
      <c r="X449" s="1979">
        <f>IF(Construction!$F$31=Construction!$R$22,Oeko!CK449,Oeko!EX449)</f>
        <v>1</v>
      </c>
      <c r="Y449" s="1979">
        <f>IF(Construction!$F$31=Construction!$R$22,Oeko!CL449,Oeko!EY449)</f>
        <v>1</v>
      </c>
      <c r="Z449" s="1979">
        <f>IF(Construction!$F$31=Construction!$R$22,Oeko!CM449,Oeko!EZ449)</f>
        <v>1</v>
      </c>
      <c r="AA449" s="1979">
        <f>IF(Construction!$F$31=Construction!$R$22,Oeko!CN449,Oeko!FA449)</f>
        <v>1</v>
      </c>
      <c r="AB449" s="1979">
        <f>IF(Construction!$F$31=Construction!$R$22,Oeko!CO449,Oeko!FB449)</f>
        <v>1</v>
      </c>
      <c r="AC449" s="1998">
        <f>IF(Construction!$F$31=Construction!$R$22,Oeko!CP449,Oeko!FC449)</f>
        <v>1</v>
      </c>
      <c r="AD449" s="1998">
        <f>IF(Construction!$F$31=Construction!$R$22,Oeko!CQ449,Oeko!FD449)</f>
        <v>1</v>
      </c>
      <c r="AE449" s="1998">
        <f>IF(Construction!$F$31=Construction!$R$22,Oeko!CR449,Oeko!FE449)</f>
        <v>1</v>
      </c>
      <c r="AF449" s="1998">
        <f>IF(Construction!$F$31=Construction!$R$22,Oeko!CS449,Oeko!FF449)</f>
        <v>1</v>
      </c>
      <c r="AG449" s="1998">
        <f>IF(Construction!$F$31=Construction!$R$22,Oeko!CT449,Oeko!FG449)</f>
        <v>1</v>
      </c>
      <c r="AH449" s="1979">
        <f>IF(Construction!$F$31=Construction!$R$22,Oeko!CU449,Oeko!FH449)</f>
        <v>1</v>
      </c>
      <c r="AI449" s="1979">
        <f>IF(Construction!$F$31=Construction!$R$22,Oeko!CV449,Oeko!FI449)</f>
        <v>1</v>
      </c>
      <c r="AJ449" s="1979">
        <f>IF(Construction!$F$31=Construction!$R$22,Oeko!CW449,Oeko!FJ449)</f>
        <v>1</v>
      </c>
      <c r="AK449" s="1979">
        <f>IF(Construction!$F$31=Construction!$R$22,Oeko!CX449,Oeko!FK449)</f>
        <v>1</v>
      </c>
      <c r="AL449" s="1979">
        <f>IF(Construction!$F$31=Construction!$R$22,Oeko!CY449,Oeko!FL449)</f>
        <v>1</v>
      </c>
      <c r="AM449" s="1998">
        <f>IF(Construction!$F$31=Construction!$R$22,Oeko!CZ449,Oeko!FM449)</f>
        <v>1</v>
      </c>
      <c r="AN449" s="1998">
        <f>IF(Construction!$F$31=Construction!$R$22,Oeko!DA449,Oeko!FN449)</f>
        <v>1</v>
      </c>
      <c r="AO449" s="1998">
        <f>IF(Construction!$F$31=Construction!$R$22,Oeko!DB449,Oeko!FO449)</f>
        <v>1</v>
      </c>
      <c r="AP449" s="1998">
        <f>IF(Construction!$F$31=Construction!$R$22,Oeko!DC449,Oeko!FP449)</f>
        <v>1</v>
      </c>
      <c r="AQ449" s="1998">
        <f>IF(Construction!$F$31=Construction!$R$22,Oeko!DD449,Oeko!FQ449)</f>
        <v>1</v>
      </c>
      <c r="AR449" s="1979">
        <f>IF(Construction!$F$31=Construction!$R$22,Oeko!DE449,Oeko!FR449)</f>
        <v>1</v>
      </c>
      <c r="AS449" s="1979">
        <f>IF(Construction!$F$31=Construction!$R$22,Oeko!DF449,Oeko!FS449)</f>
        <v>1</v>
      </c>
      <c r="AT449" s="1979">
        <f>IF(Construction!$F$31=Construction!$R$22,Oeko!DG449,Oeko!FT449)</f>
        <v>1</v>
      </c>
      <c r="AU449" s="1979">
        <f>IF(Construction!$F$31=Construction!$R$22,Oeko!DH449,Oeko!FU449)</f>
        <v>1</v>
      </c>
      <c r="AV449" s="1979">
        <f>IF(Construction!$F$31=Construction!$R$22,Oeko!DI449,Oeko!FV449)</f>
        <v>1</v>
      </c>
      <c r="AW449" s="1998">
        <f>IF(Construction!$F$31=Construction!$R$22,Oeko!DJ449,Oeko!FW449)</f>
        <v>1</v>
      </c>
      <c r="AX449" s="1998">
        <f>IF(Construction!$F$31=Construction!$R$22,Oeko!DK449,Oeko!FX449)</f>
        <v>1</v>
      </c>
      <c r="AY449" s="1998">
        <f>IF(Construction!$F$31=Construction!$R$22,Oeko!DL449,Oeko!FY449)</f>
        <v>1</v>
      </c>
      <c r="AZ449" s="1998">
        <f>IF(Construction!$F$31=Construction!$R$22,Oeko!DM449,Oeko!FZ449)</f>
        <v>1</v>
      </c>
      <c r="BA449" s="1998">
        <f>IF(Construction!$F$31=Construction!$R$22,Oeko!DN449,Oeko!GA449)</f>
        <v>1</v>
      </c>
      <c r="BB449" s="1979">
        <f>IF(Construction!$F$31=Construction!$R$22,Oeko!DO449,Oeko!GB449)</f>
        <v>0.12461206483213953</v>
      </c>
      <c r="BC449" s="1979">
        <f>IF(Construction!$F$31=Construction!$R$22,Oeko!DP449,Oeko!GC449)</f>
        <v>0.12461206483213953</v>
      </c>
      <c r="BD449" s="1979">
        <f>IF(Construction!$F$31=Construction!$R$22,Oeko!DQ449,Oeko!GD449)</f>
        <v>0.12461206483213953</v>
      </c>
      <c r="BE449" s="1979">
        <f>IF(Construction!$F$31=Construction!$R$22,Oeko!DR449,Oeko!GE449)</f>
        <v>0.12461206483213953</v>
      </c>
      <c r="BF449" s="1979">
        <f>IF(Construction!$F$31=Construction!$R$22,Oeko!DS449,Oeko!GF449)</f>
        <v>0.12461206483213953</v>
      </c>
      <c r="BG449" s="1998">
        <f>IF(Construction!$F$31=Construction!$R$22,Oeko!DT449,Oeko!GG449)</f>
        <v>0.12783559671100567</v>
      </c>
      <c r="BH449" s="1998">
        <f>IF(Construction!$F$31=Construction!$R$22,Oeko!DU449,Oeko!GH449)</f>
        <v>0.12783559671100567</v>
      </c>
      <c r="BI449" s="1998">
        <f>IF(Construction!$F$31=Construction!$R$22,Oeko!DV449,Oeko!GI449)</f>
        <v>0.12783559671100567</v>
      </c>
      <c r="BJ449" s="1998">
        <f>IF(Construction!$F$31=Construction!$R$22,Oeko!DW449,Oeko!GJ449)</f>
        <v>0.12783559671100567</v>
      </c>
      <c r="BK449" s="2026">
        <f>IF(Construction!$F$31=Construction!$R$22,Oeko!DX449,Oeko!GK449)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IF(Construction!$F$31=Construction!$R$22,Oeko!BQ450,Oeko!ED450)</f>
        <v>1</v>
      </c>
      <c r="E450" s="1979">
        <f>IF(Construction!$F$31=Construction!$R$22,Oeko!BR450,Oeko!EE450)</f>
        <v>1</v>
      </c>
      <c r="F450" s="1979">
        <f>IF(Construction!$F$31=Construction!$R$22,Oeko!BS450,Oeko!EF450)</f>
        <v>1</v>
      </c>
      <c r="G450" s="1979">
        <f>IF(Construction!$F$31=Construction!$R$22,Oeko!BT450,Oeko!EG450)</f>
        <v>1</v>
      </c>
      <c r="H450" s="1979">
        <f>IF(Construction!$F$31=Construction!$R$22,Oeko!BU450,Oeko!EH450)</f>
        <v>1</v>
      </c>
      <c r="I450" s="1998">
        <f>IF(Construction!$F$31=Construction!$R$22,Oeko!BV450,Oeko!EI450)</f>
        <v>1</v>
      </c>
      <c r="J450" s="1998">
        <f>IF(Construction!$F$31=Construction!$R$22,Oeko!BW450,Oeko!EJ450)</f>
        <v>1</v>
      </c>
      <c r="K450" s="1998">
        <f>IF(Construction!$F$31=Construction!$R$22,Oeko!BX450,Oeko!EK450)</f>
        <v>1</v>
      </c>
      <c r="L450" s="1998">
        <f>IF(Construction!$F$31=Construction!$R$22,Oeko!BY450,Oeko!EL450)</f>
        <v>1</v>
      </c>
      <c r="M450" s="1998">
        <f>IF(Construction!$F$31=Construction!$R$22,Oeko!BZ450,Oeko!EM450)</f>
        <v>1</v>
      </c>
      <c r="N450" s="1979">
        <f>IF(Construction!$F$31=Construction!$R$22,Oeko!CA450,Oeko!EN450)</f>
        <v>1</v>
      </c>
      <c r="O450" s="1979">
        <f>IF(Construction!$F$31=Construction!$R$22,Oeko!CB450,Oeko!EO450)</f>
        <v>1</v>
      </c>
      <c r="P450" s="1979">
        <f>IF(Construction!$F$31=Construction!$R$22,Oeko!CC450,Oeko!EP450)</f>
        <v>1</v>
      </c>
      <c r="Q450" s="1979">
        <f>IF(Construction!$F$31=Construction!$R$22,Oeko!CD450,Oeko!EQ450)</f>
        <v>1</v>
      </c>
      <c r="R450" s="1979">
        <f>IF(Construction!$F$31=Construction!$R$22,Oeko!CE450,Oeko!ER450)</f>
        <v>1</v>
      </c>
      <c r="S450" s="1998">
        <f>IF(Construction!$F$31=Construction!$R$22,Oeko!CF450,Oeko!ES450)</f>
        <v>1</v>
      </c>
      <c r="T450" s="1998">
        <f>IF(Construction!$F$31=Construction!$R$22,Oeko!CG450,Oeko!ET450)</f>
        <v>1</v>
      </c>
      <c r="U450" s="1998">
        <f>IF(Construction!$F$31=Construction!$R$22,Oeko!CH450,Oeko!EU450)</f>
        <v>1</v>
      </c>
      <c r="V450" s="1998">
        <f>IF(Construction!$F$31=Construction!$R$22,Oeko!CI450,Oeko!EV450)</f>
        <v>1</v>
      </c>
      <c r="W450" s="1998">
        <f>IF(Construction!$F$31=Construction!$R$22,Oeko!CJ450,Oeko!EW450)</f>
        <v>1</v>
      </c>
      <c r="X450" s="1979">
        <f>IF(Construction!$F$31=Construction!$R$22,Oeko!CK450,Oeko!EX450)</f>
        <v>1</v>
      </c>
      <c r="Y450" s="1979">
        <f>IF(Construction!$F$31=Construction!$R$22,Oeko!CL450,Oeko!EY450)</f>
        <v>1</v>
      </c>
      <c r="Z450" s="1979">
        <f>IF(Construction!$F$31=Construction!$R$22,Oeko!CM450,Oeko!EZ450)</f>
        <v>1</v>
      </c>
      <c r="AA450" s="1979">
        <f>IF(Construction!$F$31=Construction!$R$22,Oeko!CN450,Oeko!FA450)</f>
        <v>1</v>
      </c>
      <c r="AB450" s="1979">
        <f>IF(Construction!$F$31=Construction!$R$22,Oeko!CO450,Oeko!FB450)</f>
        <v>1</v>
      </c>
      <c r="AC450" s="1998">
        <f>IF(Construction!$F$31=Construction!$R$22,Oeko!CP450,Oeko!FC450)</f>
        <v>1</v>
      </c>
      <c r="AD450" s="1998">
        <f>IF(Construction!$F$31=Construction!$R$22,Oeko!CQ450,Oeko!FD450)</f>
        <v>1</v>
      </c>
      <c r="AE450" s="1998">
        <f>IF(Construction!$F$31=Construction!$R$22,Oeko!CR450,Oeko!FE450)</f>
        <v>1</v>
      </c>
      <c r="AF450" s="1998">
        <f>IF(Construction!$F$31=Construction!$R$22,Oeko!CS450,Oeko!FF450)</f>
        <v>1</v>
      </c>
      <c r="AG450" s="1998">
        <f>IF(Construction!$F$31=Construction!$R$22,Oeko!CT450,Oeko!FG450)</f>
        <v>1</v>
      </c>
      <c r="AH450" s="1979">
        <f>IF(Construction!$F$31=Construction!$R$22,Oeko!CU450,Oeko!FH450)</f>
        <v>1</v>
      </c>
      <c r="AI450" s="1979">
        <f>IF(Construction!$F$31=Construction!$R$22,Oeko!CV450,Oeko!FI450)</f>
        <v>1</v>
      </c>
      <c r="AJ450" s="1979">
        <f>IF(Construction!$F$31=Construction!$R$22,Oeko!CW450,Oeko!FJ450)</f>
        <v>1</v>
      </c>
      <c r="AK450" s="1979">
        <f>IF(Construction!$F$31=Construction!$R$22,Oeko!CX450,Oeko!FK450)</f>
        <v>1</v>
      </c>
      <c r="AL450" s="1979">
        <f>IF(Construction!$F$31=Construction!$R$22,Oeko!CY450,Oeko!FL450)</f>
        <v>1</v>
      </c>
      <c r="AM450" s="1998">
        <f>IF(Construction!$F$31=Construction!$R$22,Oeko!CZ450,Oeko!FM450)</f>
        <v>1.1666666666666665</v>
      </c>
      <c r="AN450" s="1998">
        <f>IF(Construction!$F$31=Construction!$R$22,Oeko!DA450,Oeko!FN450)</f>
        <v>1.1666666666666665</v>
      </c>
      <c r="AO450" s="1998">
        <f>IF(Construction!$F$31=Construction!$R$22,Oeko!DB450,Oeko!FO450)</f>
        <v>1.1666666666666665</v>
      </c>
      <c r="AP450" s="1998">
        <f>IF(Construction!$F$31=Construction!$R$22,Oeko!DC450,Oeko!FP450)</f>
        <v>1.1666666666666665</v>
      </c>
      <c r="AQ450" s="1998">
        <f>IF(Construction!$F$31=Construction!$R$22,Oeko!DD450,Oeko!FQ450)</f>
        <v>1.1666666666666665</v>
      </c>
      <c r="AR450" s="1979">
        <f>IF(Construction!$F$31=Construction!$R$22,Oeko!DE450,Oeko!FR450)</f>
        <v>1</v>
      </c>
      <c r="AS450" s="1979">
        <f>IF(Construction!$F$31=Construction!$R$22,Oeko!DF450,Oeko!FS450)</f>
        <v>1</v>
      </c>
      <c r="AT450" s="1979">
        <f>IF(Construction!$F$31=Construction!$R$22,Oeko!DG450,Oeko!FT450)</f>
        <v>1</v>
      </c>
      <c r="AU450" s="1979">
        <f>IF(Construction!$F$31=Construction!$R$22,Oeko!DH450,Oeko!FU450)</f>
        <v>1</v>
      </c>
      <c r="AV450" s="1979">
        <f>IF(Construction!$F$31=Construction!$R$22,Oeko!DI450,Oeko!FV450)</f>
        <v>1</v>
      </c>
      <c r="AW450" s="1998">
        <f>IF(Construction!$F$31=Construction!$R$22,Oeko!DJ450,Oeko!FW450)</f>
        <v>1</v>
      </c>
      <c r="AX450" s="1998">
        <f>IF(Construction!$F$31=Construction!$R$22,Oeko!DK450,Oeko!FX450)</f>
        <v>1</v>
      </c>
      <c r="AY450" s="1998">
        <f>IF(Construction!$F$31=Construction!$R$22,Oeko!DL450,Oeko!FY450)</f>
        <v>1</v>
      </c>
      <c r="AZ450" s="1998">
        <f>IF(Construction!$F$31=Construction!$R$22,Oeko!DM450,Oeko!FZ450)</f>
        <v>1</v>
      </c>
      <c r="BA450" s="1998">
        <f>IF(Construction!$F$31=Construction!$R$22,Oeko!DN450,Oeko!GA450)</f>
        <v>1</v>
      </c>
      <c r="BB450" s="1979">
        <f>IF(Construction!$F$31=Construction!$R$22,Oeko!DO450,Oeko!GB450)</f>
        <v>0.12461206483213953</v>
      </c>
      <c r="BC450" s="1979">
        <f>IF(Construction!$F$31=Construction!$R$22,Oeko!DP450,Oeko!GC450)</f>
        <v>0.12461206483213953</v>
      </c>
      <c r="BD450" s="1979">
        <f>IF(Construction!$F$31=Construction!$R$22,Oeko!DQ450,Oeko!GD450)</f>
        <v>0.12461206483213953</v>
      </c>
      <c r="BE450" s="1979">
        <f>IF(Construction!$F$31=Construction!$R$22,Oeko!DR450,Oeko!GE450)</f>
        <v>0.12461206483213953</v>
      </c>
      <c r="BF450" s="1979">
        <f>IF(Construction!$F$31=Construction!$R$22,Oeko!DS450,Oeko!GF450)</f>
        <v>0.12461206483213953</v>
      </c>
      <c r="BG450" s="1998">
        <f>IF(Construction!$F$31=Construction!$R$22,Oeko!DT450,Oeko!GG450)</f>
        <v>0.12783559671100567</v>
      </c>
      <c r="BH450" s="1998">
        <f>IF(Construction!$F$31=Construction!$R$22,Oeko!DU450,Oeko!GH450)</f>
        <v>0.12783559671100567</v>
      </c>
      <c r="BI450" s="1998">
        <f>IF(Construction!$F$31=Construction!$R$22,Oeko!DV450,Oeko!GI450)</f>
        <v>0.12783559671100567</v>
      </c>
      <c r="BJ450" s="1998">
        <f>IF(Construction!$F$31=Construction!$R$22,Oeko!DW450,Oeko!GJ450)</f>
        <v>0.12783559671100567</v>
      </c>
      <c r="BK450" s="2026">
        <f>IF(Construction!$F$31=Construction!$R$22,Oeko!DX450,Oeko!GK450)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IF(Construction!$F$31=Construction!$R$22,Oeko!BQ451,Oeko!ED451)</f>
        <v>1.3333333333333333</v>
      </c>
      <c r="E451" s="1979">
        <f>IF(Construction!$F$31=Construction!$R$22,Oeko!BR451,Oeko!EE451)</f>
        <v>1.3333333333333333</v>
      </c>
      <c r="F451" s="1979">
        <f>IF(Construction!$F$31=Construction!$R$22,Oeko!BS451,Oeko!EF451)</f>
        <v>1.3333333333333333</v>
      </c>
      <c r="G451" s="1979">
        <f>IF(Construction!$F$31=Construction!$R$22,Oeko!BT451,Oeko!EG451)</f>
        <v>1.3333333333333333</v>
      </c>
      <c r="H451" s="1979">
        <f>IF(Construction!$F$31=Construction!$R$22,Oeko!BU451,Oeko!EH451)</f>
        <v>1.3333333333333333</v>
      </c>
      <c r="I451" s="1998">
        <f>IF(Construction!$F$31=Construction!$R$22,Oeko!BV451,Oeko!EI451)</f>
        <v>1</v>
      </c>
      <c r="J451" s="1998">
        <f>IF(Construction!$F$31=Construction!$R$22,Oeko!BW451,Oeko!EJ451)</f>
        <v>1</v>
      </c>
      <c r="K451" s="1998">
        <f>IF(Construction!$F$31=Construction!$R$22,Oeko!BX451,Oeko!EK451)</f>
        <v>1</v>
      </c>
      <c r="L451" s="1998">
        <f>IF(Construction!$F$31=Construction!$R$22,Oeko!BY451,Oeko!EL451)</f>
        <v>1</v>
      </c>
      <c r="M451" s="1998">
        <f>IF(Construction!$F$31=Construction!$R$22,Oeko!BZ451,Oeko!EM451)</f>
        <v>1</v>
      </c>
      <c r="N451" s="1979">
        <f>IF(Construction!$F$31=Construction!$R$22,Oeko!CA451,Oeko!EN451)</f>
        <v>1</v>
      </c>
      <c r="O451" s="1979">
        <f>IF(Construction!$F$31=Construction!$R$22,Oeko!CB451,Oeko!EO451)</f>
        <v>1</v>
      </c>
      <c r="P451" s="1979">
        <f>IF(Construction!$F$31=Construction!$R$22,Oeko!CC451,Oeko!EP451)</f>
        <v>1</v>
      </c>
      <c r="Q451" s="1979">
        <f>IF(Construction!$F$31=Construction!$R$22,Oeko!CD451,Oeko!EQ451)</f>
        <v>1</v>
      </c>
      <c r="R451" s="1979">
        <f>IF(Construction!$F$31=Construction!$R$22,Oeko!CE451,Oeko!ER451)</f>
        <v>1</v>
      </c>
      <c r="S451" s="1998">
        <f>IF(Construction!$F$31=Construction!$R$22,Oeko!CF451,Oeko!ES451)</f>
        <v>1</v>
      </c>
      <c r="T451" s="1998">
        <f>IF(Construction!$F$31=Construction!$R$22,Oeko!CG451,Oeko!ET451)</f>
        <v>1</v>
      </c>
      <c r="U451" s="1998">
        <f>IF(Construction!$F$31=Construction!$R$22,Oeko!CH451,Oeko!EU451)</f>
        <v>1</v>
      </c>
      <c r="V451" s="1998">
        <f>IF(Construction!$F$31=Construction!$R$22,Oeko!CI451,Oeko!EV451)</f>
        <v>1</v>
      </c>
      <c r="W451" s="1998">
        <f>IF(Construction!$F$31=Construction!$R$22,Oeko!CJ451,Oeko!EW451)</f>
        <v>1</v>
      </c>
      <c r="X451" s="1979">
        <f>IF(Construction!$F$31=Construction!$R$22,Oeko!CK451,Oeko!EX451)</f>
        <v>1</v>
      </c>
      <c r="Y451" s="1979">
        <f>IF(Construction!$F$31=Construction!$R$22,Oeko!CL451,Oeko!EY451)</f>
        <v>1</v>
      </c>
      <c r="Z451" s="1979">
        <f>IF(Construction!$F$31=Construction!$R$22,Oeko!CM451,Oeko!EZ451)</f>
        <v>1</v>
      </c>
      <c r="AA451" s="1979">
        <f>IF(Construction!$F$31=Construction!$R$22,Oeko!CN451,Oeko!FA451)</f>
        <v>1</v>
      </c>
      <c r="AB451" s="1979">
        <f>IF(Construction!$F$31=Construction!$R$22,Oeko!CO451,Oeko!FB451)</f>
        <v>1</v>
      </c>
      <c r="AC451" s="1998">
        <f>IF(Construction!$F$31=Construction!$R$22,Oeko!CP451,Oeko!FC451)</f>
        <v>1</v>
      </c>
      <c r="AD451" s="1998">
        <f>IF(Construction!$F$31=Construction!$R$22,Oeko!CQ451,Oeko!FD451)</f>
        <v>1</v>
      </c>
      <c r="AE451" s="1998">
        <f>IF(Construction!$F$31=Construction!$R$22,Oeko!CR451,Oeko!FE451)</f>
        <v>1</v>
      </c>
      <c r="AF451" s="1998">
        <f>IF(Construction!$F$31=Construction!$R$22,Oeko!CS451,Oeko!FF451)</f>
        <v>1</v>
      </c>
      <c r="AG451" s="1998">
        <f>IF(Construction!$F$31=Construction!$R$22,Oeko!CT451,Oeko!FG451)</f>
        <v>1</v>
      </c>
      <c r="AH451" s="1979">
        <f>IF(Construction!$F$31=Construction!$R$22,Oeko!CU451,Oeko!FH451)</f>
        <v>1</v>
      </c>
      <c r="AI451" s="1979">
        <f>IF(Construction!$F$31=Construction!$R$22,Oeko!CV451,Oeko!FI451)</f>
        <v>1</v>
      </c>
      <c r="AJ451" s="1979">
        <f>IF(Construction!$F$31=Construction!$R$22,Oeko!CW451,Oeko!FJ451)</f>
        <v>1</v>
      </c>
      <c r="AK451" s="1979">
        <f>IF(Construction!$F$31=Construction!$R$22,Oeko!CX451,Oeko!FK451)</f>
        <v>1</v>
      </c>
      <c r="AL451" s="1979">
        <f>IF(Construction!$F$31=Construction!$R$22,Oeko!CY451,Oeko!FL451)</f>
        <v>1</v>
      </c>
      <c r="AM451" s="1998">
        <f>IF(Construction!$F$31=Construction!$R$22,Oeko!CZ451,Oeko!FM451)</f>
        <v>1.3333333333333333</v>
      </c>
      <c r="AN451" s="1998">
        <f>IF(Construction!$F$31=Construction!$R$22,Oeko!DA451,Oeko!FN451)</f>
        <v>1.3333333333333333</v>
      </c>
      <c r="AO451" s="1998">
        <f>IF(Construction!$F$31=Construction!$R$22,Oeko!DB451,Oeko!FO451)</f>
        <v>1.3333333333333333</v>
      </c>
      <c r="AP451" s="1998">
        <f>IF(Construction!$F$31=Construction!$R$22,Oeko!DC451,Oeko!FP451)</f>
        <v>1.3333333333333333</v>
      </c>
      <c r="AQ451" s="1998">
        <f>IF(Construction!$F$31=Construction!$R$22,Oeko!DD451,Oeko!FQ451)</f>
        <v>1.3333333333333333</v>
      </c>
      <c r="AR451" s="1979">
        <f>IF(Construction!$F$31=Construction!$R$22,Oeko!DE451,Oeko!FR451)</f>
        <v>1</v>
      </c>
      <c r="AS451" s="1979">
        <f>IF(Construction!$F$31=Construction!$R$22,Oeko!DF451,Oeko!FS451)</f>
        <v>1</v>
      </c>
      <c r="AT451" s="1979">
        <f>IF(Construction!$F$31=Construction!$R$22,Oeko!DG451,Oeko!FT451)</f>
        <v>1</v>
      </c>
      <c r="AU451" s="1979">
        <f>IF(Construction!$F$31=Construction!$R$22,Oeko!DH451,Oeko!FU451)</f>
        <v>1</v>
      </c>
      <c r="AV451" s="1979">
        <f>IF(Construction!$F$31=Construction!$R$22,Oeko!DI451,Oeko!FV451)</f>
        <v>1</v>
      </c>
      <c r="AW451" s="1998">
        <f>IF(Construction!$F$31=Construction!$R$22,Oeko!DJ451,Oeko!FW451)</f>
        <v>1</v>
      </c>
      <c r="AX451" s="1998">
        <f>IF(Construction!$F$31=Construction!$R$22,Oeko!DK451,Oeko!FX451)</f>
        <v>1</v>
      </c>
      <c r="AY451" s="1998">
        <f>IF(Construction!$F$31=Construction!$R$22,Oeko!DL451,Oeko!FY451)</f>
        <v>1</v>
      </c>
      <c r="AZ451" s="1998">
        <f>IF(Construction!$F$31=Construction!$R$22,Oeko!DM451,Oeko!FZ451)</f>
        <v>1</v>
      </c>
      <c r="BA451" s="1998">
        <f>IF(Construction!$F$31=Construction!$R$22,Oeko!DN451,Oeko!GA451)</f>
        <v>1</v>
      </c>
      <c r="BB451" s="1979">
        <f>IF(Construction!$F$31=Construction!$R$22,Oeko!DO451,Oeko!GB451)</f>
        <v>0.12461206483213953</v>
      </c>
      <c r="BC451" s="1979">
        <f>IF(Construction!$F$31=Construction!$R$22,Oeko!DP451,Oeko!GC451)</f>
        <v>0.12461206483213953</v>
      </c>
      <c r="BD451" s="1979">
        <f>IF(Construction!$F$31=Construction!$R$22,Oeko!DQ451,Oeko!GD451)</f>
        <v>0.12461206483213953</v>
      </c>
      <c r="BE451" s="1979">
        <f>IF(Construction!$F$31=Construction!$R$22,Oeko!DR451,Oeko!GE451)</f>
        <v>0.12461206483213953</v>
      </c>
      <c r="BF451" s="1979">
        <f>IF(Construction!$F$31=Construction!$R$22,Oeko!DS451,Oeko!GF451)</f>
        <v>0.12461206483213953</v>
      </c>
      <c r="BG451" s="1998">
        <f>IF(Construction!$F$31=Construction!$R$22,Oeko!DT451,Oeko!GG451)</f>
        <v>0.12783559671100567</v>
      </c>
      <c r="BH451" s="1998">
        <f>IF(Construction!$F$31=Construction!$R$22,Oeko!DU451,Oeko!GH451)</f>
        <v>0.12783559671100567</v>
      </c>
      <c r="BI451" s="1998">
        <f>IF(Construction!$F$31=Construction!$R$22,Oeko!DV451,Oeko!GI451)</f>
        <v>0.12783559671100567</v>
      </c>
      <c r="BJ451" s="1998">
        <f>IF(Construction!$F$31=Construction!$R$22,Oeko!DW451,Oeko!GJ451)</f>
        <v>0.12783559671100567</v>
      </c>
      <c r="BK451" s="2026">
        <f>IF(Construction!$F$31=Construction!$R$22,Oeko!DX451,Oeko!GK451)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Fondation superficielle</v>
      </c>
      <c r="D452" s="1979">
        <f>IF(Construction!$F$31=Construction!$R$22,Oeko!BQ452,Oeko!ED452)</f>
        <v>1</v>
      </c>
      <c r="E452" s="1979">
        <f>IF(Construction!$F$31=Construction!$R$22,Oeko!BR452,Oeko!EE452)</f>
        <v>1</v>
      </c>
      <c r="F452" s="1979">
        <f>IF(Construction!$F$31=Construction!$R$22,Oeko!BS452,Oeko!EF452)</f>
        <v>1</v>
      </c>
      <c r="G452" s="1979">
        <f>IF(Construction!$F$31=Construction!$R$22,Oeko!BT452,Oeko!EG452)</f>
        <v>1</v>
      </c>
      <c r="H452" s="1979">
        <f>IF(Construction!$F$31=Construction!$R$22,Oeko!BU452,Oeko!EH452)</f>
        <v>1</v>
      </c>
      <c r="I452" s="1998">
        <f>IF(Construction!$F$31=Construction!$R$22,Oeko!BV452,Oeko!EI452)</f>
        <v>1</v>
      </c>
      <c r="J452" s="1998">
        <f>IF(Construction!$F$31=Construction!$R$22,Oeko!BW452,Oeko!EJ452)</f>
        <v>1</v>
      </c>
      <c r="K452" s="1998">
        <f>IF(Construction!$F$31=Construction!$R$22,Oeko!BX452,Oeko!EK452)</f>
        <v>1</v>
      </c>
      <c r="L452" s="1998">
        <f>IF(Construction!$F$31=Construction!$R$22,Oeko!BY452,Oeko!EL452)</f>
        <v>1</v>
      </c>
      <c r="M452" s="1998">
        <f>IF(Construction!$F$31=Construction!$R$22,Oeko!BZ452,Oeko!EM452)</f>
        <v>1</v>
      </c>
      <c r="N452" s="1979">
        <f>IF(Construction!$F$31=Construction!$R$22,Oeko!CA452,Oeko!EN452)</f>
        <v>1</v>
      </c>
      <c r="O452" s="1979">
        <f>IF(Construction!$F$31=Construction!$R$22,Oeko!CB452,Oeko!EO452)</f>
        <v>1</v>
      </c>
      <c r="P452" s="1979">
        <f>IF(Construction!$F$31=Construction!$R$22,Oeko!CC452,Oeko!EP452)</f>
        <v>1</v>
      </c>
      <c r="Q452" s="1979">
        <f>IF(Construction!$F$31=Construction!$R$22,Oeko!CD452,Oeko!EQ452)</f>
        <v>1</v>
      </c>
      <c r="R452" s="1979">
        <f>IF(Construction!$F$31=Construction!$R$22,Oeko!CE452,Oeko!ER452)</f>
        <v>1</v>
      </c>
      <c r="S452" s="1998">
        <f>IF(Construction!$F$31=Construction!$R$22,Oeko!CF452,Oeko!ES452)</f>
        <v>1</v>
      </c>
      <c r="T452" s="1998">
        <f>IF(Construction!$F$31=Construction!$R$22,Oeko!CG452,Oeko!ET452)</f>
        <v>1</v>
      </c>
      <c r="U452" s="1998">
        <f>IF(Construction!$F$31=Construction!$R$22,Oeko!CH452,Oeko!EU452)</f>
        <v>1</v>
      </c>
      <c r="V452" s="1998">
        <f>IF(Construction!$F$31=Construction!$R$22,Oeko!CI452,Oeko!EV452)</f>
        <v>1</v>
      </c>
      <c r="W452" s="1998">
        <f>IF(Construction!$F$31=Construction!$R$22,Oeko!CJ452,Oeko!EW452)</f>
        <v>1</v>
      </c>
      <c r="X452" s="1979">
        <f>IF(Construction!$F$31=Construction!$R$22,Oeko!CK452,Oeko!EX452)</f>
        <v>1</v>
      </c>
      <c r="Y452" s="1979">
        <f>IF(Construction!$F$31=Construction!$R$22,Oeko!CL452,Oeko!EY452)</f>
        <v>1</v>
      </c>
      <c r="Z452" s="1979">
        <f>IF(Construction!$F$31=Construction!$R$22,Oeko!CM452,Oeko!EZ452)</f>
        <v>1</v>
      </c>
      <c r="AA452" s="1979">
        <f>IF(Construction!$F$31=Construction!$R$22,Oeko!CN452,Oeko!FA452)</f>
        <v>1</v>
      </c>
      <c r="AB452" s="1979">
        <f>IF(Construction!$F$31=Construction!$R$22,Oeko!CO452,Oeko!FB452)</f>
        <v>1</v>
      </c>
      <c r="AC452" s="1998">
        <f>IF(Construction!$F$31=Construction!$R$22,Oeko!CP452,Oeko!FC452)</f>
        <v>1</v>
      </c>
      <c r="AD452" s="1998">
        <f>IF(Construction!$F$31=Construction!$R$22,Oeko!CQ452,Oeko!FD452)</f>
        <v>1</v>
      </c>
      <c r="AE452" s="1998">
        <f>IF(Construction!$F$31=Construction!$R$22,Oeko!CR452,Oeko!FE452)</f>
        <v>1</v>
      </c>
      <c r="AF452" s="1998">
        <f>IF(Construction!$F$31=Construction!$R$22,Oeko!CS452,Oeko!FF452)</f>
        <v>1</v>
      </c>
      <c r="AG452" s="1998">
        <f>IF(Construction!$F$31=Construction!$R$22,Oeko!CT452,Oeko!FG452)</f>
        <v>1</v>
      </c>
      <c r="AH452" s="1979">
        <f>IF(Construction!$F$31=Construction!$R$22,Oeko!CU452,Oeko!FH452)</f>
        <v>1</v>
      </c>
      <c r="AI452" s="1979">
        <f>IF(Construction!$F$31=Construction!$R$22,Oeko!CV452,Oeko!FI452)</f>
        <v>1</v>
      </c>
      <c r="AJ452" s="1979">
        <f>IF(Construction!$F$31=Construction!$R$22,Oeko!CW452,Oeko!FJ452)</f>
        <v>1</v>
      </c>
      <c r="AK452" s="1979">
        <f>IF(Construction!$F$31=Construction!$R$22,Oeko!CX452,Oeko!FK452)</f>
        <v>1</v>
      </c>
      <c r="AL452" s="1979">
        <f>IF(Construction!$F$31=Construction!$R$22,Oeko!CY452,Oeko!FL452)</f>
        <v>1</v>
      </c>
      <c r="AM452" s="1998">
        <f>IF(Construction!$F$31=Construction!$R$22,Oeko!CZ452,Oeko!FM452)</f>
        <v>1</v>
      </c>
      <c r="AN452" s="1998">
        <f>IF(Construction!$F$31=Construction!$R$22,Oeko!DA452,Oeko!FN452)</f>
        <v>1</v>
      </c>
      <c r="AO452" s="1998">
        <f>IF(Construction!$F$31=Construction!$R$22,Oeko!DB452,Oeko!FO452)</f>
        <v>1</v>
      </c>
      <c r="AP452" s="1998">
        <f>IF(Construction!$F$31=Construction!$R$22,Oeko!DC452,Oeko!FP452)</f>
        <v>1</v>
      </c>
      <c r="AQ452" s="1998">
        <f>IF(Construction!$F$31=Construction!$R$22,Oeko!DD452,Oeko!FQ452)</f>
        <v>1</v>
      </c>
      <c r="AR452" s="1979">
        <f>IF(Construction!$F$31=Construction!$R$22,Oeko!DE452,Oeko!FR452)</f>
        <v>1</v>
      </c>
      <c r="AS452" s="1979">
        <f>IF(Construction!$F$31=Construction!$R$22,Oeko!DF452,Oeko!FS452)</f>
        <v>1</v>
      </c>
      <c r="AT452" s="1979">
        <f>IF(Construction!$F$31=Construction!$R$22,Oeko!DG452,Oeko!FT452)</f>
        <v>1</v>
      </c>
      <c r="AU452" s="1979">
        <f>IF(Construction!$F$31=Construction!$R$22,Oeko!DH452,Oeko!FU452)</f>
        <v>1</v>
      </c>
      <c r="AV452" s="1979">
        <f>IF(Construction!$F$31=Construction!$R$22,Oeko!DI452,Oeko!FV452)</f>
        <v>1</v>
      </c>
      <c r="AW452" s="1998">
        <f>IF(Construction!$F$31=Construction!$R$22,Oeko!DJ452,Oeko!FW452)</f>
        <v>1</v>
      </c>
      <c r="AX452" s="1998">
        <f>IF(Construction!$F$31=Construction!$R$22,Oeko!DK452,Oeko!FX452)</f>
        <v>1</v>
      </c>
      <c r="AY452" s="1998">
        <f>IF(Construction!$F$31=Construction!$R$22,Oeko!DL452,Oeko!FY452)</f>
        <v>1</v>
      </c>
      <c r="AZ452" s="1998">
        <f>IF(Construction!$F$31=Construction!$R$22,Oeko!DM452,Oeko!FZ452)</f>
        <v>1</v>
      </c>
      <c r="BA452" s="1998">
        <f>IF(Construction!$F$31=Construction!$R$22,Oeko!DN452,Oeko!GA452)</f>
        <v>1</v>
      </c>
      <c r="BB452" s="1979">
        <f>IF(Construction!$F$31=Construction!$R$22,Oeko!DO452,Oeko!GB452)</f>
        <v>1</v>
      </c>
      <c r="BC452" s="1979">
        <f>IF(Construction!$F$31=Construction!$R$22,Oeko!DP452,Oeko!GC452)</f>
        <v>1</v>
      </c>
      <c r="BD452" s="1979">
        <f>IF(Construction!$F$31=Construction!$R$22,Oeko!DQ452,Oeko!GD452)</f>
        <v>1</v>
      </c>
      <c r="BE452" s="1979">
        <f>IF(Construction!$F$31=Construction!$R$22,Oeko!DR452,Oeko!GE452)</f>
        <v>1</v>
      </c>
      <c r="BF452" s="1979">
        <f>IF(Construction!$F$31=Construction!$R$22,Oeko!DS452,Oeko!GF452)</f>
        <v>1</v>
      </c>
      <c r="BG452" s="1998">
        <f>IF(Construction!$F$31=Construction!$R$22,Oeko!DT452,Oeko!GG452)</f>
        <v>1</v>
      </c>
      <c r="BH452" s="1998">
        <f>IF(Construction!$F$31=Construction!$R$22,Oeko!DU452,Oeko!GH452)</f>
        <v>1</v>
      </c>
      <c r="BI452" s="1998">
        <f>IF(Construction!$F$31=Construction!$R$22,Oeko!DV452,Oeko!GI452)</f>
        <v>1</v>
      </c>
      <c r="BJ452" s="1998">
        <f>IF(Construction!$F$31=Construction!$R$22,Oeko!DW452,Oeko!GJ452)</f>
        <v>1</v>
      </c>
      <c r="BK452" s="2026">
        <f>IF(Construction!$F$31=Construction!$R$22,Oeko!DX452,Oeko!GK452)</f>
        <v>1</v>
      </c>
      <c r="BN452" s="2022"/>
      <c r="BO452" s="2">
        <v>29</v>
      </c>
      <c r="BP452" s="2" t="str">
        <f>$AD$13</f>
        <v>Fondation superficielle</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Fondation superficielle</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Micro-pieux</v>
      </c>
      <c r="D453" s="1979">
        <f>IF(Construction!$F$31=Construction!$R$22,Oeko!BQ453,Oeko!ED453)</f>
        <v>1</v>
      </c>
      <c r="E453" s="1979">
        <f>IF(Construction!$F$31=Construction!$R$22,Oeko!BR453,Oeko!EE453)</f>
        <v>1</v>
      </c>
      <c r="F453" s="1979">
        <f>IF(Construction!$F$31=Construction!$R$22,Oeko!BS453,Oeko!EF453)</f>
        <v>1</v>
      </c>
      <c r="G453" s="1979">
        <f>IF(Construction!$F$31=Construction!$R$22,Oeko!BT453,Oeko!EG453)</f>
        <v>1</v>
      </c>
      <c r="H453" s="1979">
        <f>IF(Construction!$F$31=Construction!$R$22,Oeko!BU453,Oeko!EH453)</f>
        <v>1</v>
      </c>
      <c r="I453" s="1998">
        <f>IF(Construction!$F$31=Construction!$R$22,Oeko!BV453,Oeko!EI453)</f>
        <v>1</v>
      </c>
      <c r="J453" s="1998">
        <f>IF(Construction!$F$31=Construction!$R$22,Oeko!BW453,Oeko!EJ453)</f>
        <v>1</v>
      </c>
      <c r="K453" s="1998">
        <f>IF(Construction!$F$31=Construction!$R$22,Oeko!BX453,Oeko!EK453)</f>
        <v>1</v>
      </c>
      <c r="L453" s="1998">
        <f>IF(Construction!$F$31=Construction!$R$22,Oeko!BY453,Oeko!EL453)</f>
        <v>1</v>
      </c>
      <c r="M453" s="1998">
        <f>IF(Construction!$F$31=Construction!$R$22,Oeko!BZ453,Oeko!EM453)</f>
        <v>1</v>
      </c>
      <c r="N453" s="1979">
        <f>IF(Construction!$F$31=Construction!$R$22,Oeko!CA453,Oeko!EN453)</f>
        <v>1</v>
      </c>
      <c r="O453" s="1979">
        <f>IF(Construction!$F$31=Construction!$R$22,Oeko!CB453,Oeko!EO453)</f>
        <v>1</v>
      </c>
      <c r="P453" s="1979">
        <f>IF(Construction!$F$31=Construction!$R$22,Oeko!CC453,Oeko!EP453)</f>
        <v>1</v>
      </c>
      <c r="Q453" s="1979">
        <f>IF(Construction!$F$31=Construction!$R$22,Oeko!CD453,Oeko!EQ453)</f>
        <v>1</v>
      </c>
      <c r="R453" s="1979">
        <f>IF(Construction!$F$31=Construction!$R$22,Oeko!CE453,Oeko!ER453)</f>
        <v>1</v>
      </c>
      <c r="S453" s="1998">
        <f>IF(Construction!$F$31=Construction!$R$22,Oeko!CF453,Oeko!ES453)</f>
        <v>1</v>
      </c>
      <c r="T453" s="1998">
        <f>IF(Construction!$F$31=Construction!$R$22,Oeko!CG453,Oeko!ET453)</f>
        <v>1</v>
      </c>
      <c r="U453" s="1998">
        <f>IF(Construction!$F$31=Construction!$R$22,Oeko!CH453,Oeko!EU453)</f>
        <v>1</v>
      </c>
      <c r="V453" s="1998">
        <f>IF(Construction!$F$31=Construction!$R$22,Oeko!CI453,Oeko!EV453)</f>
        <v>1</v>
      </c>
      <c r="W453" s="1998">
        <f>IF(Construction!$F$31=Construction!$R$22,Oeko!CJ453,Oeko!EW453)</f>
        <v>1</v>
      </c>
      <c r="X453" s="1979">
        <f>IF(Construction!$F$31=Construction!$R$22,Oeko!CK453,Oeko!EX453)</f>
        <v>1</v>
      </c>
      <c r="Y453" s="1979">
        <f>IF(Construction!$F$31=Construction!$R$22,Oeko!CL453,Oeko!EY453)</f>
        <v>1</v>
      </c>
      <c r="Z453" s="1979">
        <f>IF(Construction!$F$31=Construction!$R$22,Oeko!CM453,Oeko!EZ453)</f>
        <v>1</v>
      </c>
      <c r="AA453" s="1979">
        <f>IF(Construction!$F$31=Construction!$R$22,Oeko!CN453,Oeko!FA453)</f>
        <v>1</v>
      </c>
      <c r="AB453" s="1979">
        <f>IF(Construction!$F$31=Construction!$R$22,Oeko!CO453,Oeko!FB453)</f>
        <v>1</v>
      </c>
      <c r="AC453" s="1998">
        <f>IF(Construction!$F$31=Construction!$R$22,Oeko!CP453,Oeko!FC453)</f>
        <v>1</v>
      </c>
      <c r="AD453" s="1998">
        <f>IF(Construction!$F$31=Construction!$R$22,Oeko!CQ453,Oeko!FD453)</f>
        <v>1</v>
      </c>
      <c r="AE453" s="1998">
        <f>IF(Construction!$F$31=Construction!$R$22,Oeko!CR453,Oeko!FE453)</f>
        <v>1</v>
      </c>
      <c r="AF453" s="1998">
        <f>IF(Construction!$F$31=Construction!$R$22,Oeko!CS453,Oeko!FF453)</f>
        <v>1</v>
      </c>
      <c r="AG453" s="1998">
        <f>IF(Construction!$F$31=Construction!$R$22,Oeko!CT453,Oeko!FG453)</f>
        <v>1</v>
      </c>
      <c r="AH453" s="1979">
        <f>IF(Construction!$F$31=Construction!$R$22,Oeko!CU453,Oeko!FH453)</f>
        <v>1</v>
      </c>
      <c r="AI453" s="1979">
        <f>IF(Construction!$F$31=Construction!$R$22,Oeko!CV453,Oeko!FI453)</f>
        <v>1</v>
      </c>
      <c r="AJ453" s="1979">
        <f>IF(Construction!$F$31=Construction!$R$22,Oeko!CW453,Oeko!FJ453)</f>
        <v>1</v>
      </c>
      <c r="AK453" s="1979">
        <f>IF(Construction!$F$31=Construction!$R$22,Oeko!CX453,Oeko!FK453)</f>
        <v>1</v>
      </c>
      <c r="AL453" s="1979">
        <f>IF(Construction!$F$31=Construction!$R$22,Oeko!CY453,Oeko!FL453)</f>
        <v>1</v>
      </c>
      <c r="AM453" s="1998">
        <f>IF(Construction!$F$31=Construction!$R$22,Oeko!CZ453,Oeko!FM453)</f>
        <v>1</v>
      </c>
      <c r="AN453" s="1998">
        <f>IF(Construction!$F$31=Construction!$R$22,Oeko!DA453,Oeko!FN453)</f>
        <v>1</v>
      </c>
      <c r="AO453" s="1998">
        <f>IF(Construction!$F$31=Construction!$R$22,Oeko!DB453,Oeko!FO453)</f>
        <v>1</v>
      </c>
      <c r="AP453" s="1998">
        <f>IF(Construction!$F$31=Construction!$R$22,Oeko!DC453,Oeko!FP453)</f>
        <v>1</v>
      </c>
      <c r="AQ453" s="1998">
        <f>IF(Construction!$F$31=Construction!$R$22,Oeko!DD453,Oeko!FQ453)</f>
        <v>1</v>
      </c>
      <c r="AR453" s="1979">
        <f>IF(Construction!$F$31=Construction!$R$22,Oeko!DE453,Oeko!FR453)</f>
        <v>1</v>
      </c>
      <c r="AS453" s="1979">
        <f>IF(Construction!$F$31=Construction!$R$22,Oeko!DF453,Oeko!FS453)</f>
        <v>1</v>
      </c>
      <c r="AT453" s="1979">
        <f>IF(Construction!$F$31=Construction!$R$22,Oeko!DG453,Oeko!FT453)</f>
        <v>1</v>
      </c>
      <c r="AU453" s="1979">
        <f>IF(Construction!$F$31=Construction!$R$22,Oeko!DH453,Oeko!FU453)</f>
        <v>1</v>
      </c>
      <c r="AV453" s="1979">
        <f>IF(Construction!$F$31=Construction!$R$22,Oeko!DI453,Oeko!FV453)</f>
        <v>1</v>
      </c>
      <c r="AW453" s="1998">
        <f>IF(Construction!$F$31=Construction!$R$22,Oeko!DJ453,Oeko!FW453)</f>
        <v>1</v>
      </c>
      <c r="AX453" s="1998">
        <f>IF(Construction!$F$31=Construction!$R$22,Oeko!DK453,Oeko!FX453)</f>
        <v>1</v>
      </c>
      <c r="AY453" s="1998">
        <f>IF(Construction!$F$31=Construction!$R$22,Oeko!DL453,Oeko!FY453)</f>
        <v>1</v>
      </c>
      <c r="AZ453" s="1998">
        <f>IF(Construction!$F$31=Construction!$R$22,Oeko!DM453,Oeko!FZ453)</f>
        <v>1</v>
      </c>
      <c r="BA453" s="1998">
        <f>IF(Construction!$F$31=Construction!$R$22,Oeko!DN453,Oeko!GA453)</f>
        <v>1</v>
      </c>
      <c r="BB453" s="1979">
        <f>IF(Construction!$F$31=Construction!$R$22,Oeko!DO453,Oeko!GB453)</f>
        <v>1</v>
      </c>
      <c r="BC453" s="1979">
        <f>IF(Construction!$F$31=Construction!$R$22,Oeko!DP453,Oeko!GC453)</f>
        <v>1</v>
      </c>
      <c r="BD453" s="1979">
        <f>IF(Construction!$F$31=Construction!$R$22,Oeko!DQ453,Oeko!GD453)</f>
        <v>1</v>
      </c>
      <c r="BE453" s="1979">
        <f>IF(Construction!$F$31=Construction!$R$22,Oeko!DR453,Oeko!GE453)</f>
        <v>1</v>
      </c>
      <c r="BF453" s="1979">
        <f>IF(Construction!$F$31=Construction!$R$22,Oeko!DS453,Oeko!GF453)</f>
        <v>1</v>
      </c>
      <c r="BG453" s="1998">
        <f>IF(Construction!$F$31=Construction!$R$22,Oeko!DT453,Oeko!GG453)</f>
        <v>1</v>
      </c>
      <c r="BH453" s="1998">
        <f>IF(Construction!$F$31=Construction!$R$22,Oeko!DU453,Oeko!GH453)</f>
        <v>1</v>
      </c>
      <c r="BI453" s="1998">
        <f>IF(Construction!$F$31=Construction!$R$22,Oeko!DV453,Oeko!GI453)</f>
        <v>1</v>
      </c>
      <c r="BJ453" s="1998">
        <f>IF(Construction!$F$31=Construction!$R$22,Oeko!DW453,Oeko!GJ453)</f>
        <v>1</v>
      </c>
      <c r="BK453" s="2026">
        <f>IF(Construction!$F$31=Construction!$R$22,Oeko!DX453,Oeko!GK453)</f>
        <v>1</v>
      </c>
      <c r="BN453" s="2022"/>
      <c r="BO453" s="2">
        <v>30</v>
      </c>
      <c r="BP453" s="2" t="str">
        <f>$AD$14</f>
        <v>Micro-pieux</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Micro-pieux</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Pieux en béton coulé sur place</v>
      </c>
      <c r="D454" s="1979">
        <f>IF(Construction!$F$31=Construction!$R$22,Oeko!BQ454,Oeko!ED454)</f>
        <v>1</v>
      </c>
      <c r="E454" s="1979">
        <f>IF(Construction!$F$31=Construction!$R$22,Oeko!BR454,Oeko!EE454)</f>
        <v>1</v>
      </c>
      <c r="F454" s="1979">
        <f>IF(Construction!$F$31=Construction!$R$22,Oeko!BS454,Oeko!EF454)</f>
        <v>1</v>
      </c>
      <c r="G454" s="1979">
        <f>IF(Construction!$F$31=Construction!$R$22,Oeko!BT454,Oeko!EG454)</f>
        <v>1</v>
      </c>
      <c r="H454" s="1979">
        <f>IF(Construction!$F$31=Construction!$R$22,Oeko!BU454,Oeko!EH454)</f>
        <v>1</v>
      </c>
      <c r="I454" s="1998">
        <f>IF(Construction!$F$31=Construction!$R$22,Oeko!BV454,Oeko!EI454)</f>
        <v>1</v>
      </c>
      <c r="J454" s="1998">
        <f>IF(Construction!$F$31=Construction!$R$22,Oeko!BW454,Oeko!EJ454)</f>
        <v>1</v>
      </c>
      <c r="K454" s="1998">
        <f>IF(Construction!$F$31=Construction!$R$22,Oeko!BX454,Oeko!EK454)</f>
        <v>1</v>
      </c>
      <c r="L454" s="1998">
        <f>IF(Construction!$F$31=Construction!$R$22,Oeko!BY454,Oeko!EL454)</f>
        <v>1</v>
      </c>
      <c r="M454" s="1998">
        <f>IF(Construction!$F$31=Construction!$R$22,Oeko!BZ454,Oeko!EM454)</f>
        <v>1</v>
      </c>
      <c r="N454" s="1979">
        <f>IF(Construction!$F$31=Construction!$R$22,Oeko!CA454,Oeko!EN454)</f>
        <v>1</v>
      </c>
      <c r="O454" s="1979">
        <f>IF(Construction!$F$31=Construction!$R$22,Oeko!CB454,Oeko!EO454)</f>
        <v>1</v>
      </c>
      <c r="P454" s="1979">
        <f>IF(Construction!$F$31=Construction!$R$22,Oeko!CC454,Oeko!EP454)</f>
        <v>1</v>
      </c>
      <c r="Q454" s="1979">
        <f>IF(Construction!$F$31=Construction!$R$22,Oeko!CD454,Oeko!EQ454)</f>
        <v>1</v>
      </c>
      <c r="R454" s="1979">
        <f>IF(Construction!$F$31=Construction!$R$22,Oeko!CE454,Oeko!ER454)</f>
        <v>1</v>
      </c>
      <c r="S454" s="1998">
        <f>IF(Construction!$F$31=Construction!$R$22,Oeko!CF454,Oeko!ES454)</f>
        <v>1</v>
      </c>
      <c r="T454" s="1998">
        <f>IF(Construction!$F$31=Construction!$R$22,Oeko!CG454,Oeko!ET454)</f>
        <v>1</v>
      </c>
      <c r="U454" s="1998">
        <f>IF(Construction!$F$31=Construction!$R$22,Oeko!CH454,Oeko!EU454)</f>
        <v>1</v>
      </c>
      <c r="V454" s="1998">
        <f>IF(Construction!$F$31=Construction!$R$22,Oeko!CI454,Oeko!EV454)</f>
        <v>1</v>
      </c>
      <c r="W454" s="1998">
        <f>IF(Construction!$F$31=Construction!$R$22,Oeko!CJ454,Oeko!EW454)</f>
        <v>1</v>
      </c>
      <c r="X454" s="1979">
        <f>IF(Construction!$F$31=Construction!$R$22,Oeko!CK454,Oeko!EX454)</f>
        <v>1</v>
      </c>
      <c r="Y454" s="1979">
        <f>IF(Construction!$F$31=Construction!$R$22,Oeko!CL454,Oeko!EY454)</f>
        <v>1</v>
      </c>
      <c r="Z454" s="1979">
        <f>IF(Construction!$F$31=Construction!$R$22,Oeko!CM454,Oeko!EZ454)</f>
        <v>1</v>
      </c>
      <c r="AA454" s="1979">
        <f>IF(Construction!$F$31=Construction!$R$22,Oeko!CN454,Oeko!FA454)</f>
        <v>1</v>
      </c>
      <c r="AB454" s="1979">
        <f>IF(Construction!$F$31=Construction!$R$22,Oeko!CO454,Oeko!FB454)</f>
        <v>1</v>
      </c>
      <c r="AC454" s="1998">
        <f>IF(Construction!$F$31=Construction!$R$22,Oeko!CP454,Oeko!FC454)</f>
        <v>1</v>
      </c>
      <c r="AD454" s="1998">
        <f>IF(Construction!$F$31=Construction!$R$22,Oeko!CQ454,Oeko!FD454)</f>
        <v>1</v>
      </c>
      <c r="AE454" s="1998">
        <f>IF(Construction!$F$31=Construction!$R$22,Oeko!CR454,Oeko!FE454)</f>
        <v>1</v>
      </c>
      <c r="AF454" s="1998">
        <f>IF(Construction!$F$31=Construction!$R$22,Oeko!CS454,Oeko!FF454)</f>
        <v>1</v>
      </c>
      <c r="AG454" s="1998">
        <f>IF(Construction!$F$31=Construction!$R$22,Oeko!CT454,Oeko!FG454)</f>
        <v>1</v>
      </c>
      <c r="AH454" s="1979">
        <f>IF(Construction!$F$31=Construction!$R$22,Oeko!CU454,Oeko!FH454)</f>
        <v>1</v>
      </c>
      <c r="AI454" s="1979">
        <f>IF(Construction!$F$31=Construction!$R$22,Oeko!CV454,Oeko!FI454)</f>
        <v>1</v>
      </c>
      <c r="AJ454" s="1979">
        <f>IF(Construction!$F$31=Construction!$R$22,Oeko!CW454,Oeko!FJ454)</f>
        <v>1</v>
      </c>
      <c r="AK454" s="1979">
        <f>IF(Construction!$F$31=Construction!$R$22,Oeko!CX454,Oeko!FK454)</f>
        <v>1</v>
      </c>
      <c r="AL454" s="1979">
        <f>IF(Construction!$F$31=Construction!$R$22,Oeko!CY454,Oeko!FL454)</f>
        <v>1</v>
      </c>
      <c r="AM454" s="1998">
        <f>IF(Construction!$F$31=Construction!$R$22,Oeko!CZ454,Oeko!FM454)</f>
        <v>1</v>
      </c>
      <c r="AN454" s="1998">
        <f>IF(Construction!$F$31=Construction!$R$22,Oeko!DA454,Oeko!FN454)</f>
        <v>1</v>
      </c>
      <c r="AO454" s="1998">
        <f>IF(Construction!$F$31=Construction!$R$22,Oeko!DB454,Oeko!FO454)</f>
        <v>1</v>
      </c>
      <c r="AP454" s="1998">
        <f>IF(Construction!$F$31=Construction!$R$22,Oeko!DC454,Oeko!FP454)</f>
        <v>1</v>
      </c>
      <c r="AQ454" s="1998">
        <f>IF(Construction!$F$31=Construction!$R$22,Oeko!DD454,Oeko!FQ454)</f>
        <v>1</v>
      </c>
      <c r="AR454" s="1979">
        <f>IF(Construction!$F$31=Construction!$R$22,Oeko!DE454,Oeko!FR454)</f>
        <v>1</v>
      </c>
      <c r="AS454" s="1979">
        <f>IF(Construction!$F$31=Construction!$R$22,Oeko!DF454,Oeko!FS454)</f>
        <v>1</v>
      </c>
      <c r="AT454" s="1979">
        <f>IF(Construction!$F$31=Construction!$R$22,Oeko!DG454,Oeko!FT454)</f>
        <v>1</v>
      </c>
      <c r="AU454" s="1979">
        <f>IF(Construction!$F$31=Construction!$R$22,Oeko!DH454,Oeko!FU454)</f>
        <v>1</v>
      </c>
      <c r="AV454" s="1979">
        <f>IF(Construction!$F$31=Construction!$R$22,Oeko!DI454,Oeko!FV454)</f>
        <v>1</v>
      </c>
      <c r="AW454" s="1998">
        <f>IF(Construction!$F$31=Construction!$R$22,Oeko!DJ454,Oeko!FW454)</f>
        <v>1</v>
      </c>
      <c r="AX454" s="1998">
        <f>IF(Construction!$F$31=Construction!$R$22,Oeko!DK454,Oeko!FX454)</f>
        <v>1</v>
      </c>
      <c r="AY454" s="1998">
        <f>IF(Construction!$F$31=Construction!$R$22,Oeko!DL454,Oeko!FY454)</f>
        <v>1</v>
      </c>
      <c r="AZ454" s="1998">
        <f>IF(Construction!$F$31=Construction!$R$22,Oeko!DM454,Oeko!FZ454)</f>
        <v>1</v>
      </c>
      <c r="BA454" s="1998">
        <f>IF(Construction!$F$31=Construction!$R$22,Oeko!DN454,Oeko!GA454)</f>
        <v>1</v>
      </c>
      <c r="BB454" s="1979">
        <f>IF(Construction!$F$31=Construction!$R$22,Oeko!DO454,Oeko!GB454)</f>
        <v>1</v>
      </c>
      <c r="BC454" s="1979">
        <f>IF(Construction!$F$31=Construction!$R$22,Oeko!DP454,Oeko!GC454)</f>
        <v>1</v>
      </c>
      <c r="BD454" s="1979">
        <f>IF(Construction!$F$31=Construction!$R$22,Oeko!DQ454,Oeko!GD454)</f>
        <v>1</v>
      </c>
      <c r="BE454" s="1979">
        <f>IF(Construction!$F$31=Construction!$R$22,Oeko!DR454,Oeko!GE454)</f>
        <v>1</v>
      </c>
      <c r="BF454" s="1979">
        <f>IF(Construction!$F$31=Construction!$R$22,Oeko!DS454,Oeko!GF454)</f>
        <v>1</v>
      </c>
      <c r="BG454" s="1998">
        <f>IF(Construction!$F$31=Construction!$R$22,Oeko!DT454,Oeko!GG454)</f>
        <v>1</v>
      </c>
      <c r="BH454" s="1998">
        <f>IF(Construction!$F$31=Construction!$R$22,Oeko!DU454,Oeko!GH454)</f>
        <v>1</v>
      </c>
      <c r="BI454" s="1998">
        <f>IF(Construction!$F$31=Construction!$R$22,Oeko!DV454,Oeko!GI454)</f>
        <v>1</v>
      </c>
      <c r="BJ454" s="1998">
        <f>IF(Construction!$F$31=Construction!$R$22,Oeko!DW454,Oeko!GJ454)</f>
        <v>1</v>
      </c>
      <c r="BK454" s="2026">
        <f>IF(Construction!$F$31=Construction!$R$22,Oeko!DX454,Oeko!GK454)</f>
        <v>1</v>
      </c>
      <c r="BN454" s="2022"/>
      <c r="BO454" s="2">
        <v>31</v>
      </c>
      <c r="BP454" s="2" t="str">
        <f>$AD$15</f>
        <v>Pieux en béton coulé sur place</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Pieux en béton coulé sur place</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Colonnes ballastées</v>
      </c>
      <c r="D455" s="1979">
        <f>IF(Construction!$F$31=Construction!$R$22,Oeko!BQ455,Oeko!ED455)</f>
        <v>1</v>
      </c>
      <c r="E455" s="1979">
        <f>IF(Construction!$F$31=Construction!$R$22,Oeko!BR455,Oeko!EE455)</f>
        <v>1</v>
      </c>
      <c r="F455" s="1979">
        <f>IF(Construction!$F$31=Construction!$R$22,Oeko!BS455,Oeko!EF455)</f>
        <v>1</v>
      </c>
      <c r="G455" s="1979">
        <f>IF(Construction!$F$31=Construction!$R$22,Oeko!BT455,Oeko!EG455)</f>
        <v>1</v>
      </c>
      <c r="H455" s="1979">
        <f>IF(Construction!$F$31=Construction!$R$22,Oeko!BU455,Oeko!EH455)</f>
        <v>1</v>
      </c>
      <c r="I455" s="1998">
        <f>IF(Construction!$F$31=Construction!$R$22,Oeko!BV455,Oeko!EI455)</f>
        <v>1</v>
      </c>
      <c r="J455" s="1998">
        <f>IF(Construction!$F$31=Construction!$R$22,Oeko!BW455,Oeko!EJ455)</f>
        <v>1</v>
      </c>
      <c r="K455" s="1998">
        <f>IF(Construction!$F$31=Construction!$R$22,Oeko!BX455,Oeko!EK455)</f>
        <v>1</v>
      </c>
      <c r="L455" s="1998">
        <f>IF(Construction!$F$31=Construction!$R$22,Oeko!BY455,Oeko!EL455)</f>
        <v>1</v>
      </c>
      <c r="M455" s="1998">
        <f>IF(Construction!$F$31=Construction!$R$22,Oeko!BZ455,Oeko!EM455)</f>
        <v>1</v>
      </c>
      <c r="N455" s="1979">
        <f>IF(Construction!$F$31=Construction!$R$22,Oeko!CA455,Oeko!EN455)</f>
        <v>1</v>
      </c>
      <c r="O455" s="1979">
        <f>IF(Construction!$F$31=Construction!$R$22,Oeko!CB455,Oeko!EO455)</f>
        <v>1</v>
      </c>
      <c r="P455" s="1979">
        <f>IF(Construction!$F$31=Construction!$R$22,Oeko!CC455,Oeko!EP455)</f>
        <v>1</v>
      </c>
      <c r="Q455" s="1979">
        <f>IF(Construction!$F$31=Construction!$R$22,Oeko!CD455,Oeko!EQ455)</f>
        <v>1</v>
      </c>
      <c r="R455" s="1979">
        <f>IF(Construction!$F$31=Construction!$R$22,Oeko!CE455,Oeko!ER455)</f>
        <v>1</v>
      </c>
      <c r="S455" s="1998">
        <f>IF(Construction!$F$31=Construction!$R$22,Oeko!CF455,Oeko!ES455)</f>
        <v>1</v>
      </c>
      <c r="T455" s="1998">
        <f>IF(Construction!$F$31=Construction!$R$22,Oeko!CG455,Oeko!ET455)</f>
        <v>1</v>
      </c>
      <c r="U455" s="1998">
        <f>IF(Construction!$F$31=Construction!$R$22,Oeko!CH455,Oeko!EU455)</f>
        <v>1</v>
      </c>
      <c r="V455" s="1998">
        <f>IF(Construction!$F$31=Construction!$R$22,Oeko!CI455,Oeko!EV455)</f>
        <v>1</v>
      </c>
      <c r="W455" s="1998">
        <f>IF(Construction!$F$31=Construction!$R$22,Oeko!CJ455,Oeko!EW455)</f>
        <v>1</v>
      </c>
      <c r="X455" s="1979">
        <f>IF(Construction!$F$31=Construction!$R$22,Oeko!CK455,Oeko!EX455)</f>
        <v>1</v>
      </c>
      <c r="Y455" s="1979">
        <f>IF(Construction!$F$31=Construction!$R$22,Oeko!CL455,Oeko!EY455)</f>
        <v>1</v>
      </c>
      <c r="Z455" s="1979">
        <f>IF(Construction!$F$31=Construction!$R$22,Oeko!CM455,Oeko!EZ455)</f>
        <v>1</v>
      </c>
      <c r="AA455" s="1979">
        <f>IF(Construction!$F$31=Construction!$R$22,Oeko!CN455,Oeko!FA455)</f>
        <v>1</v>
      </c>
      <c r="AB455" s="1979">
        <f>IF(Construction!$F$31=Construction!$R$22,Oeko!CO455,Oeko!FB455)</f>
        <v>1</v>
      </c>
      <c r="AC455" s="1998">
        <f>IF(Construction!$F$31=Construction!$R$22,Oeko!CP455,Oeko!FC455)</f>
        <v>1</v>
      </c>
      <c r="AD455" s="1998">
        <f>IF(Construction!$F$31=Construction!$R$22,Oeko!CQ455,Oeko!FD455)</f>
        <v>1</v>
      </c>
      <c r="AE455" s="1998">
        <f>IF(Construction!$F$31=Construction!$R$22,Oeko!CR455,Oeko!FE455)</f>
        <v>1</v>
      </c>
      <c r="AF455" s="1998">
        <f>IF(Construction!$F$31=Construction!$R$22,Oeko!CS455,Oeko!FF455)</f>
        <v>1</v>
      </c>
      <c r="AG455" s="1998">
        <f>IF(Construction!$F$31=Construction!$R$22,Oeko!CT455,Oeko!FG455)</f>
        <v>1</v>
      </c>
      <c r="AH455" s="1979">
        <f>IF(Construction!$F$31=Construction!$R$22,Oeko!CU455,Oeko!FH455)</f>
        <v>1</v>
      </c>
      <c r="AI455" s="1979">
        <f>IF(Construction!$F$31=Construction!$R$22,Oeko!CV455,Oeko!FI455)</f>
        <v>1</v>
      </c>
      <c r="AJ455" s="1979">
        <f>IF(Construction!$F$31=Construction!$R$22,Oeko!CW455,Oeko!FJ455)</f>
        <v>1</v>
      </c>
      <c r="AK455" s="1979">
        <f>IF(Construction!$F$31=Construction!$R$22,Oeko!CX455,Oeko!FK455)</f>
        <v>1</v>
      </c>
      <c r="AL455" s="1979">
        <f>IF(Construction!$F$31=Construction!$R$22,Oeko!CY455,Oeko!FL455)</f>
        <v>1</v>
      </c>
      <c r="AM455" s="1998">
        <f>IF(Construction!$F$31=Construction!$R$22,Oeko!CZ455,Oeko!FM455)</f>
        <v>1</v>
      </c>
      <c r="AN455" s="1998">
        <f>IF(Construction!$F$31=Construction!$R$22,Oeko!DA455,Oeko!FN455)</f>
        <v>1</v>
      </c>
      <c r="AO455" s="1998">
        <f>IF(Construction!$F$31=Construction!$R$22,Oeko!DB455,Oeko!FO455)</f>
        <v>1</v>
      </c>
      <c r="AP455" s="1998">
        <f>IF(Construction!$F$31=Construction!$R$22,Oeko!DC455,Oeko!FP455)</f>
        <v>1</v>
      </c>
      <c r="AQ455" s="1998">
        <f>IF(Construction!$F$31=Construction!$R$22,Oeko!DD455,Oeko!FQ455)</f>
        <v>1</v>
      </c>
      <c r="AR455" s="1979">
        <f>IF(Construction!$F$31=Construction!$R$22,Oeko!DE455,Oeko!FR455)</f>
        <v>1</v>
      </c>
      <c r="AS455" s="1979">
        <f>IF(Construction!$F$31=Construction!$R$22,Oeko!DF455,Oeko!FS455)</f>
        <v>1</v>
      </c>
      <c r="AT455" s="1979">
        <f>IF(Construction!$F$31=Construction!$R$22,Oeko!DG455,Oeko!FT455)</f>
        <v>1</v>
      </c>
      <c r="AU455" s="1979">
        <f>IF(Construction!$F$31=Construction!$R$22,Oeko!DH455,Oeko!FU455)</f>
        <v>1</v>
      </c>
      <c r="AV455" s="1979">
        <f>IF(Construction!$F$31=Construction!$R$22,Oeko!DI455,Oeko!FV455)</f>
        <v>1</v>
      </c>
      <c r="AW455" s="1998">
        <f>IF(Construction!$F$31=Construction!$R$22,Oeko!DJ455,Oeko!FW455)</f>
        <v>1</v>
      </c>
      <c r="AX455" s="1998">
        <f>IF(Construction!$F$31=Construction!$R$22,Oeko!DK455,Oeko!FX455)</f>
        <v>1</v>
      </c>
      <c r="AY455" s="1998">
        <f>IF(Construction!$F$31=Construction!$R$22,Oeko!DL455,Oeko!FY455)</f>
        <v>1</v>
      </c>
      <c r="AZ455" s="1998">
        <f>IF(Construction!$F$31=Construction!$R$22,Oeko!DM455,Oeko!FZ455)</f>
        <v>1</v>
      </c>
      <c r="BA455" s="1998">
        <f>IF(Construction!$F$31=Construction!$R$22,Oeko!DN455,Oeko!GA455)</f>
        <v>1</v>
      </c>
      <c r="BB455" s="1979">
        <f>IF(Construction!$F$31=Construction!$R$22,Oeko!DO455,Oeko!GB455)</f>
        <v>1</v>
      </c>
      <c r="BC455" s="1979">
        <f>IF(Construction!$F$31=Construction!$R$22,Oeko!DP455,Oeko!GC455)</f>
        <v>1</v>
      </c>
      <c r="BD455" s="1979">
        <f>IF(Construction!$F$31=Construction!$R$22,Oeko!DQ455,Oeko!GD455)</f>
        <v>1</v>
      </c>
      <c r="BE455" s="1979">
        <f>IF(Construction!$F$31=Construction!$R$22,Oeko!DR455,Oeko!GE455)</f>
        <v>1</v>
      </c>
      <c r="BF455" s="1979">
        <f>IF(Construction!$F$31=Construction!$R$22,Oeko!DS455,Oeko!GF455)</f>
        <v>1</v>
      </c>
      <c r="BG455" s="1998">
        <f>IF(Construction!$F$31=Construction!$R$22,Oeko!DT455,Oeko!GG455)</f>
        <v>1</v>
      </c>
      <c r="BH455" s="1998">
        <f>IF(Construction!$F$31=Construction!$R$22,Oeko!DU455,Oeko!GH455)</f>
        <v>1</v>
      </c>
      <c r="BI455" s="1998">
        <f>IF(Construction!$F$31=Construction!$R$22,Oeko!DV455,Oeko!GI455)</f>
        <v>1</v>
      </c>
      <c r="BJ455" s="1998">
        <f>IF(Construction!$F$31=Construction!$R$22,Oeko!DW455,Oeko!GJ455)</f>
        <v>1</v>
      </c>
      <c r="BK455" s="2026">
        <f>IF(Construction!$F$31=Construction!$R$22,Oeko!DX455,Oeko!GK455)</f>
        <v>1</v>
      </c>
      <c r="BN455" s="2022"/>
      <c r="BO455" s="2">
        <v>32</v>
      </c>
      <c r="BP455" s="2" t="str">
        <f>$AD$16</f>
        <v>Colonnes ballastées</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Colonnes ballastées</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Pieu en béton préfabriqué (battus)</v>
      </c>
      <c r="D456" s="1979">
        <f>IF(Construction!$F$31=Construction!$R$22,Oeko!BQ456,Oeko!ED456)</f>
        <v>1</v>
      </c>
      <c r="E456" s="1979">
        <f>IF(Construction!$F$31=Construction!$R$22,Oeko!BR456,Oeko!EE456)</f>
        <v>1</v>
      </c>
      <c r="F456" s="1979">
        <f>IF(Construction!$F$31=Construction!$R$22,Oeko!BS456,Oeko!EF456)</f>
        <v>1</v>
      </c>
      <c r="G456" s="1979">
        <f>IF(Construction!$F$31=Construction!$R$22,Oeko!BT456,Oeko!EG456)</f>
        <v>1</v>
      </c>
      <c r="H456" s="1979">
        <f>IF(Construction!$F$31=Construction!$R$22,Oeko!BU456,Oeko!EH456)</f>
        <v>1</v>
      </c>
      <c r="I456" s="1998">
        <f>IF(Construction!$F$31=Construction!$R$22,Oeko!BV456,Oeko!EI456)</f>
        <v>1</v>
      </c>
      <c r="J456" s="1998">
        <f>IF(Construction!$F$31=Construction!$R$22,Oeko!BW456,Oeko!EJ456)</f>
        <v>1</v>
      </c>
      <c r="K456" s="1998">
        <f>IF(Construction!$F$31=Construction!$R$22,Oeko!BX456,Oeko!EK456)</f>
        <v>1</v>
      </c>
      <c r="L456" s="1998">
        <f>IF(Construction!$F$31=Construction!$R$22,Oeko!BY456,Oeko!EL456)</f>
        <v>1</v>
      </c>
      <c r="M456" s="1998">
        <f>IF(Construction!$F$31=Construction!$R$22,Oeko!BZ456,Oeko!EM456)</f>
        <v>1</v>
      </c>
      <c r="N456" s="1979">
        <f>IF(Construction!$F$31=Construction!$R$22,Oeko!CA456,Oeko!EN456)</f>
        <v>1</v>
      </c>
      <c r="O456" s="1979">
        <f>IF(Construction!$F$31=Construction!$R$22,Oeko!CB456,Oeko!EO456)</f>
        <v>1</v>
      </c>
      <c r="P456" s="1979">
        <f>IF(Construction!$F$31=Construction!$R$22,Oeko!CC456,Oeko!EP456)</f>
        <v>1</v>
      </c>
      <c r="Q456" s="1979">
        <f>IF(Construction!$F$31=Construction!$R$22,Oeko!CD456,Oeko!EQ456)</f>
        <v>1</v>
      </c>
      <c r="R456" s="1979">
        <f>IF(Construction!$F$31=Construction!$R$22,Oeko!CE456,Oeko!ER456)</f>
        <v>1</v>
      </c>
      <c r="S456" s="1998">
        <f>IF(Construction!$F$31=Construction!$R$22,Oeko!CF456,Oeko!ES456)</f>
        <v>1</v>
      </c>
      <c r="T456" s="1998">
        <f>IF(Construction!$F$31=Construction!$R$22,Oeko!CG456,Oeko!ET456)</f>
        <v>1</v>
      </c>
      <c r="U456" s="1998">
        <f>IF(Construction!$F$31=Construction!$R$22,Oeko!CH456,Oeko!EU456)</f>
        <v>1</v>
      </c>
      <c r="V456" s="1998">
        <f>IF(Construction!$F$31=Construction!$R$22,Oeko!CI456,Oeko!EV456)</f>
        <v>1</v>
      </c>
      <c r="W456" s="1998">
        <f>IF(Construction!$F$31=Construction!$R$22,Oeko!CJ456,Oeko!EW456)</f>
        <v>1</v>
      </c>
      <c r="X456" s="1979">
        <f>IF(Construction!$F$31=Construction!$R$22,Oeko!CK456,Oeko!EX456)</f>
        <v>1</v>
      </c>
      <c r="Y456" s="1979">
        <f>IF(Construction!$F$31=Construction!$R$22,Oeko!CL456,Oeko!EY456)</f>
        <v>1</v>
      </c>
      <c r="Z456" s="1979">
        <f>IF(Construction!$F$31=Construction!$R$22,Oeko!CM456,Oeko!EZ456)</f>
        <v>1</v>
      </c>
      <c r="AA456" s="1979">
        <f>IF(Construction!$F$31=Construction!$R$22,Oeko!CN456,Oeko!FA456)</f>
        <v>1</v>
      </c>
      <c r="AB456" s="1979">
        <f>IF(Construction!$F$31=Construction!$R$22,Oeko!CO456,Oeko!FB456)</f>
        <v>1</v>
      </c>
      <c r="AC456" s="1998">
        <f>IF(Construction!$F$31=Construction!$R$22,Oeko!CP456,Oeko!FC456)</f>
        <v>1</v>
      </c>
      <c r="AD456" s="1998">
        <f>IF(Construction!$F$31=Construction!$R$22,Oeko!CQ456,Oeko!FD456)</f>
        <v>1</v>
      </c>
      <c r="AE456" s="1998">
        <f>IF(Construction!$F$31=Construction!$R$22,Oeko!CR456,Oeko!FE456)</f>
        <v>1</v>
      </c>
      <c r="AF456" s="1998">
        <f>IF(Construction!$F$31=Construction!$R$22,Oeko!CS456,Oeko!FF456)</f>
        <v>1</v>
      </c>
      <c r="AG456" s="1998">
        <f>IF(Construction!$F$31=Construction!$R$22,Oeko!CT456,Oeko!FG456)</f>
        <v>1</v>
      </c>
      <c r="AH456" s="1979">
        <f>IF(Construction!$F$31=Construction!$R$22,Oeko!CU456,Oeko!FH456)</f>
        <v>1</v>
      </c>
      <c r="AI456" s="1979">
        <f>IF(Construction!$F$31=Construction!$R$22,Oeko!CV456,Oeko!FI456)</f>
        <v>1</v>
      </c>
      <c r="AJ456" s="1979">
        <f>IF(Construction!$F$31=Construction!$R$22,Oeko!CW456,Oeko!FJ456)</f>
        <v>1</v>
      </c>
      <c r="AK456" s="1979">
        <f>IF(Construction!$F$31=Construction!$R$22,Oeko!CX456,Oeko!FK456)</f>
        <v>1</v>
      </c>
      <c r="AL456" s="1979">
        <f>IF(Construction!$F$31=Construction!$R$22,Oeko!CY456,Oeko!FL456)</f>
        <v>1</v>
      </c>
      <c r="AM456" s="1998">
        <f>IF(Construction!$F$31=Construction!$R$22,Oeko!CZ456,Oeko!FM456)</f>
        <v>1</v>
      </c>
      <c r="AN456" s="1998">
        <f>IF(Construction!$F$31=Construction!$R$22,Oeko!DA456,Oeko!FN456)</f>
        <v>1</v>
      </c>
      <c r="AO456" s="1998">
        <f>IF(Construction!$F$31=Construction!$R$22,Oeko!DB456,Oeko!FO456)</f>
        <v>1</v>
      </c>
      <c r="AP456" s="1998">
        <f>IF(Construction!$F$31=Construction!$R$22,Oeko!DC456,Oeko!FP456)</f>
        <v>1</v>
      </c>
      <c r="AQ456" s="1998">
        <f>IF(Construction!$F$31=Construction!$R$22,Oeko!DD456,Oeko!FQ456)</f>
        <v>1</v>
      </c>
      <c r="AR456" s="1979">
        <f>IF(Construction!$F$31=Construction!$R$22,Oeko!DE456,Oeko!FR456)</f>
        <v>1</v>
      </c>
      <c r="AS456" s="1979">
        <f>IF(Construction!$F$31=Construction!$R$22,Oeko!DF456,Oeko!FS456)</f>
        <v>1</v>
      </c>
      <c r="AT456" s="1979">
        <f>IF(Construction!$F$31=Construction!$R$22,Oeko!DG456,Oeko!FT456)</f>
        <v>1</v>
      </c>
      <c r="AU456" s="1979">
        <f>IF(Construction!$F$31=Construction!$R$22,Oeko!DH456,Oeko!FU456)</f>
        <v>1</v>
      </c>
      <c r="AV456" s="1979">
        <f>IF(Construction!$F$31=Construction!$R$22,Oeko!DI456,Oeko!FV456)</f>
        <v>1</v>
      </c>
      <c r="AW456" s="1998">
        <f>IF(Construction!$F$31=Construction!$R$22,Oeko!DJ456,Oeko!FW456)</f>
        <v>1</v>
      </c>
      <c r="AX456" s="1998">
        <f>IF(Construction!$F$31=Construction!$R$22,Oeko!DK456,Oeko!FX456)</f>
        <v>1</v>
      </c>
      <c r="AY456" s="1998">
        <f>IF(Construction!$F$31=Construction!$R$22,Oeko!DL456,Oeko!FY456)</f>
        <v>1</v>
      </c>
      <c r="AZ456" s="1998">
        <f>IF(Construction!$F$31=Construction!$R$22,Oeko!DM456,Oeko!FZ456)</f>
        <v>1</v>
      </c>
      <c r="BA456" s="1998">
        <f>IF(Construction!$F$31=Construction!$R$22,Oeko!DN456,Oeko!GA456)</f>
        <v>1</v>
      </c>
      <c r="BB456" s="1979">
        <f>IF(Construction!$F$31=Construction!$R$22,Oeko!DO456,Oeko!GB456)</f>
        <v>1</v>
      </c>
      <c r="BC456" s="1979">
        <f>IF(Construction!$F$31=Construction!$R$22,Oeko!DP456,Oeko!GC456)</f>
        <v>1</v>
      </c>
      <c r="BD456" s="1979">
        <f>IF(Construction!$F$31=Construction!$R$22,Oeko!DQ456,Oeko!GD456)</f>
        <v>1</v>
      </c>
      <c r="BE456" s="1979">
        <f>IF(Construction!$F$31=Construction!$R$22,Oeko!DR456,Oeko!GE456)</f>
        <v>1</v>
      </c>
      <c r="BF456" s="1979">
        <f>IF(Construction!$F$31=Construction!$R$22,Oeko!DS456,Oeko!GF456)</f>
        <v>1</v>
      </c>
      <c r="BG456" s="1998">
        <f>IF(Construction!$F$31=Construction!$R$22,Oeko!DT456,Oeko!GG456)</f>
        <v>1</v>
      </c>
      <c r="BH456" s="1998">
        <f>IF(Construction!$F$31=Construction!$R$22,Oeko!DU456,Oeko!GH456)</f>
        <v>1</v>
      </c>
      <c r="BI456" s="1998">
        <f>IF(Construction!$F$31=Construction!$R$22,Oeko!DV456,Oeko!GI456)</f>
        <v>1</v>
      </c>
      <c r="BJ456" s="1998">
        <f>IF(Construction!$F$31=Construction!$R$22,Oeko!DW456,Oeko!GJ456)</f>
        <v>1</v>
      </c>
      <c r="BK456" s="2026">
        <f>IF(Construction!$F$31=Construction!$R$22,Oeko!DX456,Oeko!GK456)</f>
        <v>1</v>
      </c>
      <c r="BN456" s="2022"/>
      <c r="BO456" s="2">
        <v>33</v>
      </c>
      <c r="BP456" s="2" t="str">
        <f>$AD$17</f>
        <v>Pieu en béton préfabriqué (battus)</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Pieu en béton préfabriqué (battus)</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IF(Construction!$F$31=Construction!$R$22,Oeko!BQ457,Oeko!ED457)</f>
        <v>1</v>
      </c>
      <c r="E457" s="1979">
        <f>IF(Construction!$F$31=Construction!$R$22,Oeko!BR457,Oeko!EE457)</f>
        <v>1</v>
      </c>
      <c r="F457" s="1979">
        <f>IF(Construction!$F$31=Construction!$R$22,Oeko!BS457,Oeko!EF457)</f>
        <v>1</v>
      </c>
      <c r="G457" s="1979">
        <f>IF(Construction!$F$31=Construction!$R$22,Oeko!BT457,Oeko!EG457)</f>
        <v>1</v>
      </c>
      <c r="H457" s="1979">
        <f>IF(Construction!$F$31=Construction!$R$22,Oeko!BU457,Oeko!EH457)</f>
        <v>1</v>
      </c>
      <c r="I457" s="1998">
        <f>IF(Construction!$F$31=Construction!$R$22,Oeko!BV457,Oeko!EI457)</f>
        <v>1</v>
      </c>
      <c r="J457" s="1998">
        <f>IF(Construction!$F$31=Construction!$R$22,Oeko!BW457,Oeko!EJ457)</f>
        <v>1</v>
      </c>
      <c r="K457" s="1998">
        <f>IF(Construction!$F$31=Construction!$R$22,Oeko!BX457,Oeko!EK457)</f>
        <v>1</v>
      </c>
      <c r="L457" s="1998">
        <f>IF(Construction!$F$31=Construction!$R$22,Oeko!BY457,Oeko!EL457)</f>
        <v>1</v>
      </c>
      <c r="M457" s="1998">
        <f>IF(Construction!$F$31=Construction!$R$22,Oeko!BZ457,Oeko!EM457)</f>
        <v>1</v>
      </c>
      <c r="N457" s="1979">
        <f>IF(Construction!$F$31=Construction!$R$22,Oeko!CA457,Oeko!EN457)</f>
        <v>1</v>
      </c>
      <c r="O457" s="1979">
        <f>IF(Construction!$F$31=Construction!$R$22,Oeko!CB457,Oeko!EO457)</f>
        <v>1</v>
      </c>
      <c r="P457" s="1979">
        <f>IF(Construction!$F$31=Construction!$R$22,Oeko!CC457,Oeko!EP457)</f>
        <v>1</v>
      </c>
      <c r="Q457" s="1979">
        <f>IF(Construction!$F$31=Construction!$R$22,Oeko!CD457,Oeko!EQ457)</f>
        <v>1</v>
      </c>
      <c r="R457" s="1979">
        <f>IF(Construction!$F$31=Construction!$R$22,Oeko!CE457,Oeko!ER457)</f>
        <v>1</v>
      </c>
      <c r="S457" s="1998">
        <f>IF(Construction!$F$31=Construction!$R$22,Oeko!CF457,Oeko!ES457)</f>
        <v>1</v>
      </c>
      <c r="T457" s="1998">
        <f>IF(Construction!$F$31=Construction!$R$22,Oeko!CG457,Oeko!ET457)</f>
        <v>1</v>
      </c>
      <c r="U457" s="1998">
        <f>IF(Construction!$F$31=Construction!$R$22,Oeko!CH457,Oeko!EU457)</f>
        <v>1</v>
      </c>
      <c r="V457" s="1998">
        <f>IF(Construction!$F$31=Construction!$R$22,Oeko!CI457,Oeko!EV457)</f>
        <v>1</v>
      </c>
      <c r="W457" s="1998">
        <f>IF(Construction!$F$31=Construction!$R$22,Oeko!CJ457,Oeko!EW457)</f>
        <v>1</v>
      </c>
      <c r="X457" s="1979">
        <f>IF(Construction!$F$31=Construction!$R$22,Oeko!CK457,Oeko!EX457)</f>
        <v>1</v>
      </c>
      <c r="Y457" s="1979">
        <f>IF(Construction!$F$31=Construction!$R$22,Oeko!CL457,Oeko!EY457)</f>
        <v>1</v>
      </c>
      <c r="Z457" s="1979">
        <f>IF(Construction!$F$31=Construction!$R$22,Oeko!CM457,Oeko!EZ457)</f>
        <v>1</v>
      </c>
      <c r="AA457" s="1979">
        <f>IF(Construction!$F$31=Construction!$R$22,Oeko!CN457,Oeko!FA457)</f>
        <v>1</v>
      </c>
      <c r="AB457" s="1979">
        <f>IF(Construction!$F$31=Construction!$R$22,Oeko!CO457,Oeko!FB457)</f>
        <v>1</v>
      </c>
      <c r="AC457" s="1998">
        <f>IF(Construction!$F$31=Construction!$R$22,Oeko!CP457,Oeko!FC457)</f>
        <v>1</v>
      </c>
      <c r="AD457" s="1998">
        <f>IF(Construction!$F$31=Construction!$R$22,Oeko!CQ457,Oeko!FD457)</f>
        <v>1</v>
      </c>
      <c r="AE457" s="1998">
        <f>IF(Construction!$F$31=Construction!$R$22,Oeko!CR457,Oeko!FE457)</f>
        <v>1</v>
      </c>
      <c r="AF457" s="1998">
        <f>IF(Construction!$F$31=Construction!$R$22,Oeko!CS457,Oeko!FF457)</f>
        <v>1</v>
      </c>
      <c r="AG457" s="1998">
        <f>IF(Construction!$F$31=Construction!$R$22,Oeko!CT457,Oeko!FG457)</f>
        <v>1</v>
      </c>
      <c r="AH457" s="1979">
        <f>IF(Construction!$F$31=Construction!$R$22,Oeko!CU457,Oeko!FH457)</f>
        <v>1</v>
      </c>
      <c r="AI457" s="1979">
        <f>IF(Construction!$F$31=Construction!$R$22,Oeko!CV457,Oeko!FI457)</f>
        <v>1</v>
      </c>
      <c r="AJ457" s="1979">
        <f>IF(Construction!$F$31=Construction!$R$22,Oeko!CW457,Oeko!FJ457)</f>
        <v>1</v>
      </c>
      <c r="AK457" s="1979">
        <f>IF(Construction!$F$31=Construction!$R$22,Oeko!CX457,Oeko!FK457)</f>
        <v>1</v>
      </c>
      <c r="AL457" s="1979">
        <f>IF(Construction!$F$31=Construction!$R$22,Oeko!CY457,Oeko!FL457)</f>
        <v>1</v>
      </c>
      <c r="AM457" s="1998">
        <f>IF(Construction!$F$31=Construction!$R$22,Oeko!CZ457,Oeko!FM457)</f>
        <v>1</v>
      </c>
      <c r="AN457" s="1998">
        <f>IF(Construction!$F$31=Construction!$R$22,Oeko!DA457,Oeko!FN457)</f>
        <v>1</v>
      </c>
      <c r="AO457" s="1998">
        <f>IF(Construction!$F$31=Construction!$R$22,Oeko!DB457,Oeko!FO457)</f>
        <v>1</v>
      </c>
      <c r="AP457" s="1998">
        <f>IF(Construction!$F$31=Construction!$R$22,Oeko!DC457,Oeko!FP457)</f>
        <v>1</v>
      </c>
      <c r="AQ457" s="1998">
        <f>IF(Construction!$F$31=Construction!$R$22,Oeko!DD457,Oeko!FQ457)</f>
        <v>1</v>
      </c>
      <c r="AR457" s="1979">
        <f>IF(Construction!$F$31=Construction!$R$22,Oeko!DE457,Oeko!FR457)</f>
        <v>1</v>
      </c>
      <c r="AS457" s="1979">
        <f>IF(Construction!$F$31=Construction!$R$22,Oeko!DF457,Oeko!FS457)</f>
        <v>1</v>
      </c>
      <c r="AT457" s="1979">
        <f>IF(Construction!$F$31=Construction!$R$22,Oeko!DG457,Oeko!FT457)</f>
        <v>1</v>
      </c>
      <c r="AU457" s="1979">
        <f>IF(Construction!$F$31=Construction!$R$22,Oeko!DH457,Oeko!FU457)</f>
        <v>1</v>
      </c>
      <c r="AV457" s="1979">
        <f>IF(Construction!$F$31=Construction!$R$22,Oeko!DI457,Oeko!FV457)</f>
        <v>1</v>
      </c>
      <c r="AW457" s="1998">
        <f>IF(Construction!$F$31=Construction!$R$22,Oeko!DJ457,Oeko!FW457)</f>
        <v>1</v>
      </c>
      <c r="AX457" s="1998">
        <f>IF(Construction!$F$31=Construction!$R$22,Oeko!DK457,Oeko!FX457)</f>
        <v>1</v>
      </c>
      <c r="AY457" s="1998">
        <f>IF(Construction!$F$31=Construction!$R$22,Oeko!DL457,Oeko!FY457)</f>
        <v>1</v>
      </c>
      <c r="AZ457" s="1998">
        <f>IF(Construction!$F$31=Construction!$R$22,Oeko!DM457,Oeko!FZ457)</f>
        <v>1</v>
      </c>
      <c r="BA457" s="1998">
        <f>IF(Construction!$F$31=Construction!$R$22,Oeko!DN457,Oeko!GA457)</f>
        <v>1</v>
      </c>
      <c r="BB457" s="1979">
        <f>IF(Construction!$F$31=Construction!$R$22,Oeko!DO457,Oeko!GB457)</f>
        <v>1</v>
      </c>
      <c r="BC457" s="1979">
        <f>IF(Construction!$F$31=Construction!$R$22,Oeko!DP457,Oeko!GC457)</f>
        <v>1</v>
      </c>
      <c r="BD457" s="1979">
        <f>IF(Construction!$F$31=Construction!$R$22,Oeko!DQ457,Oeko!GD457)</f>
        <v>1</v>
      </c>
      <c r="BE457" s="1979">
        <f>IF(Construction!$F$31=Construction!$R$22,Oeko!DR457,Oeko!GE457)</f>
        <v>1</v>
      </c>
      <c r="BF457" s="1979">
        <f>IF(Construction!$F$31=Construction!$R$22,Oeko!DS457,Oeko!GF457)</f>
        <v>1</v>
      </c>
      <c r="BG457" s="1998">
        <f>IF(Construction!$F$31=Construction!$R$22,Oeko!DT457,Oeko!GG457)</f>
        <v>1</v>
      </c>
      <c r="BH457" s="1998">
        <f>IF(Construction!$F$31=Construction!$R$22,Oeko!DU457,Oeko!GH457)</f>
        <v>1</v>
      </c>
      <c r="BI457" s="1998">
        <f>IF(Construction!$F$31=Construction!$R$22,Oeko!DV457,Oeko!GI457)</f>
        <v>1</v>
      </c>
      <c r="BJ457" s="1998">
        <f>IF(Construction!$F$31=Construction!$R$22,Oeko!DW457,Oeko!GJ457)</f>
        <v>1</v>
      </c>
      <c r="BK457" s="2026">
        <f>IF(Construction!$F$31=Construction!$R$22,Oeko!DX457,Oeko!GK457)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IF(Construction!$F$31=Construction!$R$22,Oeko!BQ458,Oeko!ED458)</f>
        <v>1</v>
      </c>
      <c r="E458" s="1979">
        <f>IF(Construction!$F$31=Construction!$R$22,Oeko!BR458,Oeko!EE458)</f>
        <v>1</v>
      </c>
      <c r="F458" s="1979">
        <f>IF(Construction!$F$31=Construction!$R$22,Oeko!BS458,Oeko!EF458)</f>
        <v>1</v>
      </c>
      <c r="G458" s="1979">
        <f>IF(Construction!$F$31=Construction!$R$22,Oeko!BT458,Oeko!EG458)</f>
        <v>1</v>
      </c>
      <c r="H458" s="1979">
        <f>IF(Construction!$F$31=Construction!$R$22,Oeko!BU458,Oeko!EH458)</f>
        <v>1</v>
      </c>
      <c r="I458" s="1998">
        <f>IF(Construction!$F$31=Construction!$R$22,Oeko!BV458,Oeko!EI458)</f>
        <v>1</v>
      </c>
      <c r="J458" s="1998">
        <f>IF(Construction!$F$31=Construction!$R$22,Oeko!BW458,Oeko!EJ458)</f>
        <v>1</v>
      </c>
      <c r="K458" s="1998">
        <f>IF(Construction!$F$31=Construction!$R$22,Oeko!BX458,Oeko!EK458)</f>
        <v>1</v>
      </c>
      <c r="L458" s="1998">
        <f>IF(Construction!$F$31=Construction!$R$22,Oeko!BY458,Oeko!EL458)</f>
        <v>1</v>
      </c>
      <c r="M458" s="1998">
        <f>IF(Construction!$F$31=Construction!$R$22,Oeko!BZ458,Oeko!EM458)</f>
        <v>1</v>
      </c>
      <c r="N458" s="1979">
        <f>IF(Construction!$F$31=Construction!$R$22,Oeko!CA458,Oeko!EN458)</f>
        <v>1</v>
      </c>
      <c r="O458" s="1979">
        <f>IF(Construction!$F$31=Construction!$R$22,Oeko!CB458,Oeko!EO458)</f>
        <v>1</v>
      </c>
      <c r="P458" s="1979">
        <f>IF(Construction!$F$31=Construction!$R$22,Oeko!CC458,Oeko!EP458)</f>
        <v>1</v>
      </c>
      <c r="Q458" s="1979">
        <f>IF(Construction!$F$31=Construction!$R$22,Oeko!CD458,Oeko!EQ458)</f>
        <v>1</v>
      </c>
      <c r="R458" s="1979">
        <f>IF(Construction!$F$31=Construction!$R$22,Oeko!CE458,Oeko!ER458)</f>
        <v>1</v>
      </c>
      <c r="S458" s="1998">
        <f>IF(Construction!$F$31=Construction!$R$22,Oeko!CF458,Oeko!ES458)</f>
        <v>1</v>
      </c>
      <c r="T458" s="1998">
        <f>IF(Construction!$F$31=Construction!$R$22,Oeko!CG458,Oeko!ET458)</f>
        <v>1</v>
      </c>
      <c r="U458" s="1998">
        <f>IF(Construction!$F$31=Construction!$R$22,Oeko!CH458,Oeko!EU458)</f>
        <v>1</v>
      </c>
      <c r="V458" s="1998">
        <f>IF(Construction!$F$31=Construction!$R$22,Oeko!CI458,Oeko!EV458)</f>
        <v>1</v>
      </c>
      <c r="W458" s="1998">
        <f>IF(Construction!$F$31=Construction!$R$22,Oeko!CJ458,Oeko!EW458)</f>
        <v>1</v>
      </c>
      <c r="X458" s="1979">
        <f>IF(Construction!$F$31=Construction!$R$22,Oeko!CK458,Oeko!EX458)</f>
        <v>1</v>
      </c>
      <c r="Y458" s="1979">
        <f>IF(Construction!$F$31=Construction!$R$22,Oeko!CL458,Oeko!EY458)</f>
        <v>1</v>
      </c>
      <c r="Z458" s="1979">
        <f>IF(Construction!$F$31=Construction!$R$22,Oeko!CM458,Oeko!EZ458)</f>
        <v>1</v>
      </c>
      <c r="AA458" s="1979">
        <f>IF(Construction!$F$31=Construction!$R$22,Oeko!CN458,Oeko!FA458)</f>
        <v>1</v>
      </c>
      <c r="AB458" s="1979">
        <f>IF(Construction!$F$31=Construction!$R$22,Oeko!CO458,Oeko!FB458)</f>
        <v>1</v>
      </c>
      <c r="AC458" s="1998">
        <f>IF(Construction!$F$31=Construction!$R$22,Oeko!CP458,Oeko!FC458)</f>
        <v>1</v>
      </c>
      <c r="AD458" s="1998">
        <f>IF(Construction!$F$31=Construction!$R$22,Oeko!CQ458,Oeko!FD458)</f>
        <v>1</v>
      </c>
      <c r="AE458" s="1998">
        <f>IF(Construction!$F$31=Construction!$R$22,Oeko!CR458,Oeko!FE458)</f>
        <v>1</v>
      </c>
      <c r="AF458" s="1998">
        <f>IF(Construction!$F$31=Construction!$R$22,Oeko!CS458,Oeko!FF458)</f>
        <v>1</v>
      </c>
      <c r="AG458" s="1998">
        <f>IF(Construction!$F$31=Construction!$R$22,Oeko!CT458,Oeko!FG458)</f>
        <v>1</v>
      </c>
      <c r="AH458" s="1979">
        <f>IF(Construction!$F$31=Construction!$R$22,Oeko!CU458,Oeko!FH458)</f>
        <v>1</v>
      </c>
      <c r="AI458" s="1979">
        <f>IF(Construction!$F$31=Construction!$R$22,Oeko!CV458,Oeko!FI458)</f>
        <v>1</v>
      </c>
      <c r="AJ458" s="1979">
        <f>IF(Construction!$F$31=Construction!$R$22,Oeko!CW458,Oeko!FJ458)</f>
        <v>1</v>
      </c>
      <c r="AK458" s="1979">
        <f>IF(Construction!$F$31=Construction!$R$22,Oeko!CX458,Oeko!FK458)</f>
        <v>1</v>
      </c>
      <c r="AL458" s="1979">
        <f>IF(Construction!$F$31=Construction!$R$22,Oeko!CY458,Oeko!FL458)</f>
        <v>1</v>
      </c>
      <c r="AM458" s="1998">
        <f>IF(Construction!$F$31=Construction!$R$22,Oeko!CZ458,Oeko!FM458)</f>
        <v>1</v>
      </c>
      <c r="AN458" s="1998">
        <f>IF(Construction!$F$31=Construction!$R$22,Oeko!DA458,Oeko!FN458)</f>
        <v>1</v>
      </c>
      <c r="AO458" s="1998">
        <f>IF(Construction!$F$31=Construction!$R$22,Oeko!DB458,Oeko!FO458)</f>
        <v>1</v>
      </c>
      <c r="AP458" s="1998">
        <f>IF(Construction!$F$31=Construction!$R$22,Oeko!DC458,Oeko!FP458)</f>
        <v>1</v>
      </c>
      <c r="AQ458" s="1998">
        <f>IF(Construction!$F$31=Construction!$R$22,Oeko!DD458,Oeko!FQ458)</f>
        <v>1</v>
      </c>
      <c r="AR458" s="1979">
        <f>IF(Construction!$F$31=Construction!$R$22,Oeko!DE458,Oeko!FR458)</f>
        <v>1</v>
      </c>
      <c r="AS458" s="1979">
        <f>IF(Construction!$F$31=Construction!$R$22,Oeko!DF458,Oeko!FS458)</f>
        <v>1</v>
      </c>
      <c r="AT458" s="1979">
        <f>IF(Construction!$F$31=Construction!$R$22,Oeko!DG458,Oeko!FT458)</f>
        <v>1</v>
      </c>
      <c r="AU458" s="1979">
        <f>IF(Construction!$F$31=Construction!$R$22,Oeko!DH458,Oeko!FU458)</f>
        <v>1</v>
      </c>
      <c r="AV458" s="1979">
        <f>IF(Construction!$F$31=Construction!$R$22,Oeko!DI458,Oeko!FV458)</f>
        <v>1</v>
      </c>
      <c r="AW458" s="1998">
        <f>IF(Construction!$F$31=Construction!$R$22,Oeko!DJ458,Oeko!FW458)</f>
        <v>1</v>
      </c>
      <c r="AX458" s="1998">
        <f>IF(Construction!$F$31=Construction!$R$22,Oeko!DK458,Oeko!FX458)</f>
        <v>1</v>
      </c>
      <c r="AY458" s="1998">
        <f>IF(Construction!$F$31=Construction!$R$22,Oeko!DL458,Oeko!FY458)</f>
        <v>1</v>
      </c>
      <c r="AZ458" s="1998">
        <f>IF(Construction!$F$31=Construction!$R$22,Oeko!DM458,Oeko!FZ458)</f>
        <v>1</v>
      </c>
      <c r="BA458" s="1998">
        <f>IF(Construction!$F$31=Construction!$R$22,Oeko!DN458,Oeko!GA458)</f>
        <v>1</v>
      </c>
      <c r="BB458" s="1979">
        <f>IF(Construction!$F$31=Construction!$R$22,Oeko!DO458,Oeko!GB458)</f>
        <v>1</v>
      </c>
      <c r="BC458" s="1979">
        <f>IF(Construction!$F$31=Construction!$R$22,Oeko!DP458,Oeko!GC458)</f>
        <v>1</v>
      </c>
      <c r="BD458" s="1979">
        <f>IF(Construction!$F$31=Construction!$R$22,Oeko!DQ458,Oeko!GD458)</f>
        <v>1</v>
      </c>
      <c r="BE458" s="1979">
        <f>IF(Construction!$F$31=Construction!$R$22,Oeko!DR458,Oeko!GE458)</f>
        <v>1</v>
      </c>
      <c r="BF458" s="1979">
        <f>IF(Construction!$F$31=Construction!$R$22,Oeko!DS458,Oeko!GF458)</f>
        <v>1</v>
      </c>
      <c r="BG458" s="1998">
        <f>IF(Construction!$F$31=Construction!$R$22,Oeko!DT458,Oeko!GG458)</f>
        <v>1</v>
      </c>
      <c r="BH458" s="1998">
        <f>IF(Construction!$F$31=Construction!$R$22,Oeko!DU458,Oeko!GH458)</f>
        <v>1</v>
      </c>
      <c r="BI458" s="1998">
        <f>IF(Construction!$F$31=Construction!$R$22,Oeko!DV458,Oeko!GI458)</f>
        <v>1</v>
      </c>
      <c r="BJ458" s="1998">
        <f>IF(Construction!$F$31=Construction!$R$22,Oeko!DW458,Oeko!GJ458)</f>
        <v>1</v>
      </c>
      <c r="BK458" s="2026">
        <f>IF(Construction!$F$31=Construction!$R$22,Oeko!DX458,Oeko!GK458)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IF(Construction!$F$31=Construction!$R$22,Oeko!BQ459,Oeko!ED459)</f>
        <v>1</v>
      </c>
      <c r="E459" s="1979">
        <f>IF(Construction!$F$31=Construction!$R$22,Oeko!BR459,Oeko!EE459)</f>
        <v>1</v>
      </c>
      <c r="F459" s="1979">
        <f>IF(Construction!$F$31=Construction!$R$22,Oeko!BS459,Oeko!EF459)</f>
        <v>1</v>
      </c>
      <c r="G459" s="1979">
        <f>IF(Construction!$F$31=Construction!$R$22,Oeko!BT459,Oeko!EG459)</f>
        <v>1</v>
      </c>
      <c r="H459" s="1979">
        <f>IF(Construction!$F$31=Construction!$R$22,Oeko!BU459,Oeko!EH459)</f>
        <v>1</v>
      </c>
      <c r="I459" s="1998">
        <f>IF(Construction!$F$31=Construction!$R$22,Oeko!BV459,Oeko!EI459)</f>
        <v>1</v>
      </c>
      <c r="J459" s="1998">
        <f>IF(Construction!$F$31=Construction!$R$22,Oeko!BW459,Oeko!EJ459)</f>
        <v>1</v>
      </c>
      <c r="K459" s="1998">
        <f>IF(Construction!$F$31=Construction!$R$22,Oeko!BX459,Oeko!EK459)</f>
        <v>1</v>
      </c>
      <c r="L459" s="1998">
        <f>IF(Construction!$F$31=Construction!$R$22,Oeko!BY459,Oeko!EL459)</f>
        <v>1</v>
      </c>
      <c r="M459" s="1998">
        <f>IF(Construction!$F$31=Construction!$R$22,Oeko!BZ459,Oeko!EM459)</f>
        <v>1</v>
      </c>
      <c r="N459" s="1979">
        <f>IF(Construction!$F$31=Construction!$R$22,Oeko!CA459,Oeko!EN459)</f>
        <v>1</v>
      </c>
      <c r="O459" s="1979">
        <f>IF(Construction!$F$31=Construction!$R$22,Oeko!CB459,Oeko!EO459)</f>
        <v>1</v>
      </c>
      <c r="P459" s="1979">
        <f>IF(Construction!$F$31=Construction!$R$22,Oeko!CC459,Oeko!EP459)</f>
        <v>1</v>
      </c>
      <c r="Q459" s="1979">
        <f>IF(Construction!$F$31=Construction!$R$22,Oeko!CD459,Oeko!EQ459)</f>
        <v>1</v>
      </c>
      <c r="R459" s="1979">
        <f>IF(Construction!$F$31=Construction!$R$22,Oeko!CE459,Oeko!ER459)</f>
        <v>1</v>
      </c>
      <c r="S459" s="1998">
        <f>IF(Construction!$F$31=Construction!$R$22,Oeko!CF459,Oeko!ES459)</f>
        <v>1</v>
      </c>
      <c r="T459" s="1998">
        <f>IF(Construction!$F$31=Construction!$R$22,Oeko!CG459,Oeko!ET459)</f>
        <v>1</v>
      </c>
      <c r="U459" s="1998">
        <f>IF(Construction!$F$31=Construction!$R$22,Oeko!CH459,Oeko!EU459)</f>
        <v>1</v>
      </c>
      <c r="V459" s="1998">
        <f>IF(Construction!$F$31=Construction!$R$22,Oeko!CI459,Oeko!EV459)</f>
        <v>1</v>
      </c>
      <c r="W459" s="1998">
        <f>IF(Construction!$F$31=Construction!$R$22,Oeko!CJ459,Oeko!EW459)</f>
        <v>1</v>
      </c>
      <c r="X459" s="1979">
        <f>IF(Construction!$F$31=Construction!$R$22,Oeko!CK459,Oeko!EX459)</f>
        <v>1</v>
      </c>
      <c r="Y459" s="1979">
        <f>IF(Construction!$F$31=Construction!$R$22,Oeko!CL459,Oeko!EY459)</f>
        <v>1</v>
      </c>
      <c r="Z459" s="1979">
        <f>IF(Construction!$F$31=Construction!$R$22,Oeko!CM459,Oeko!EZ459)</f>
        <v>1</v>
      </c>
      <c r="AA459" s="1979">
        <f>IF(Construction!$F$31=Construction!$R$22,Oeko!CN459,Oeko!FA459)</f>
        <v>1</v>
      </c>
      <c r="AB459" s="1979">
        <f>IF(Construction!$F$31=Construction!$R$22,Oeko!CO459,Oeko!FB459)</f>
        <v>1</v>
      </c>
      <c r="AC459" s="1998">
        <f>IF(Construction!$F$31=Construction!$R$22,Oeko!CP459,Oeko!FC459)</f>
        <v>1</v>
      </c>
      <c r="AD459" s="1998">
        <f>IF(Construction!$F$31=Construction!$R$22,Oeko!CQ459,Oeko!FD459)</f>
        <v>1</v>
      </c>
      <c r="AE459" s="1998">
        <f>IF(Construction!$F$31=Construction!$R$22,Oeko!CR459,Oeko!FE459)</f>
        <v>1</v>
      </c>
      <c r="AF459" s="1998">
        <f>IF(Construction!$F$31=Construction!$R$22,Oeko!CS459,Oeko!FF459)</f>
        <v>1</v>
      </c>
      <c r="AG459" s="1998">
        <f>IF(Construction!$F$31=Construction!$R$22,Oeko!CT459,Oeko!FG459)</f>
        <v>1</v>
      </c>
      <c r="AH459" s="1979">
        <f>IF(Construction!$F$31=Construction!$R$22,Oeko!CU459,Oeko!FH459)</f>
        <v>1</v>
      </c>
      <c r="AI459" s="1979">
        <f>IF(Construction!$F$31=Construction!$R$22,Oeko!CV459,Oeko!FI459)</f>
        <v>1</v>
      </c>
      <c r="AJ459" s="1979">
        <f>IF(Construction!$F$31=Construction!$R$22,Oeko!CW459,Oeko!FJ459)</f>
        <v>1</v>
      </c>
      <c r="AK459" s="1979">
        <f>IF(Construction!$F$31=Construction!$R$22,Oeko!CX459,Oeko!FK459)</f>
        <v>1</v>
      </c>
      <c r="AL459" s="1979">
        <f>IF(Construction!$F$31=Construction!$R$22,Oeko!CY459,Oeko!FL459)</f>
        <v>1</v>
      </c>
      <c r="AM459" s="1998">
        <f>IF(Construction!$F$31=Construction!$R$22,Oeko!CZ459,Oeko!FM459)</f>
        <v>1</v>
      </c>
      <c r="AN459" s="1998">
        <f>IF(Construction!$F$31=Construction!$R$22,Oeko!DA459,Oeko!FN459)</f>
        <v>1</v>
      </c>
      <c r="AO459" s="1998">
        <f>IF(Construction!$F$31=Construction!$R$22,Oeko!DB459,Oeko!FO459)</f>
        <v>1</v>
      </c>
      <c r="AP459" s="1998">
        <f>IF(Construction!$F$31=Construction!$R$22,Oeko!DC459,Oeko!FP459)</f>
        <v>1</v>
      </c>
      <c r="AQ459" s="1998">
        <f>IF(Construction!$F$31=Construction!$R$22,Oeko!DD459,Oeko!FQ459)</f>
        <v>1</v>
      </c>
      <c r="AR459" s="1979">
        <f>IF(Construction!$F$31=Construction!$R$22,Oeko!DE459,Oeko!FR459)</f>
        <v>1</v>
      </c>
      <c r="AS459" s="1979">
        <f>IF(Construction!$F$31=Construction!$R$22,Oeko!DF459,Oeko!FS459)</f>
        <v>1</v>
      </c>
      <c r="AT459" s="1979">
        <f>IF(Construction!$F$31=Construction!$R$22,Oeko!DG459,Oeko!FT459)</f>
        <v>1</v>
      </c>
      <c r="AU459" s="1979">
        <f>IF(Construction!$F$31=Construction!$R$22,Oeko!DH459,Oeko!FU459)</f>
        <v>1</v>
      </c>
      <c r="AV459" s="1979">
        <f>IF(Construction!$F$31=Construction!$R$22,Oeko!DI459,Oeko!FV459)</f>
        <v>1</v>
      </c>
      <c r="AW459" s="1998">
        <f>IF(Construction!$F$31=Construction!$R$22,Oeko!DJ459,Oeko!FW459)</f>
        <v>1</v>
      </c>
      <c r="AX459" s="1998">
        <f>IF(Construction!$F$31=Construction!$R$22,Oeko!DK459,Oeko!FX459)</f>
        <v>1</v>
      </c>
      <c r="AY459" s="1998">
        <f>IF(Construction!$F$31=Construction!$R$22,Oeko!DL459,Oeko!FY459)</f>
        <v>1</v>
      </c>
      <c r="AZ459" s="1998">
        <f>IF(Construction!$F$31=Construction!$R$22,Oeko!DM459,Oeko!FZ459)</f>
        <v>1</v>
      </c>
      <c r="BA459" s="1998">
        <f>IF(Construction!$F$31=Construction!$R$22,Oeko!DN459,Oeko!GA459)</f>
        <v>1</v>
      </c>
      <c r="BB459" s="1979">
        <f>IF(Construction!$F$31=Construction!$R$22,Oeko!DO459,Oeko!GB459)</f>
        <v>1</v>
      </c>
      <c r="BC459" s="1979">
        <f>IF(Construction!$F$31=Construction!$R$22,Oeko!DP459,Oeko!GC459)</f>
        <v>1</v>
      </c>
      <c r="BD459" s="1979">
        <f>IF(Construction!$F$31=Construction!$R$22,Oeko!DQ459,Oeko!GD459)</f>
        <v>1</v>
      </c>
      <c r="BE459" s="1979">
        <f>IF(Construction!$F$31=Construction!$R$22,Oeko!DR459,Oeko!GE459)</f>
        <v>1</v>
      </c>
      <c r="BF459" s="1979">
        <f>IF(Construction!$F$31=Construction!$R$22,Oeko!DS459,Oeko!GF459)</f>
        <v>1</v>
      </c>
      <c r="BG459" s="1998">
        <f>IF(Construction!$F$31=Construction!$R$22,Oeko!DT459,Oeko!GG459)</f>
        <v>1</v>
      </c>
      <c r="BH459" s="1998">
        <f>IF(Construction!$F$31=Construction!$R$22,Oeko!DU459,Oeko!GH459)</f>
        <v>1</v>
      </c>
      <c r="BI459" s="1998">
        <f>IF(Construction!$F$31=Construction!$R$22,Oeko!DV459,Oeko!GI459)</f>
        <v>1</v>
      </c>
      <c r="BJ459" s="1998">
        <f>IF(Construction!$F$31=Construction!$R$22,Oeko!DW459,Oeko!GJ459)</f>
        <v>1</v>
      </c>
      <c r="BK459" s="2026">
        <f>IF(Construction!$F$31=Construction!$R$22,Oeko!DX459,Oeko!GK459)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IF(Construction!$F$31=Construction!$R$22,Oeko!BQ460,Oeko!ED460)</f>
        <v>1</v>
      </c>
      <c r="E460" s="1979">
        <f>IF(Construction!$F$31=Construction!$R$22,Oeko!BR460,Oeko!EE460)</f>
        <v>1</v>
      </c>
      <c r="F460" s="1979">
        <f>IF(Construction!$F$31=Construction!$R$22,Oeko!BS460,Oeko!EF460)</f>
        <v>1</v>
      </c>
      <c r="G460" s="1979">
        <f>IF(Construction!$F$31=Construction!$R$22,Oeko!BT460,Oeko!EG460)</f>
        <v>1</v>
      </c>
      <c r="H460" s="1979">
        <f>IF(Construction!$F$31=Construction!$R$22,Oeko!BU460,Oeko!EH460)</f>
        <v>1</v>
      </c>
      <c r="I460" s="1998">
        <f>IF(Construction!$F$31=Construction!$R$22,Oeko!BV460,Oeko!EI460)</f>
        <v>1</v>
      </c>
      <c r="J460" s="1998">
        <f>IF(Construction!$F$31=Construction!$R$22,Oeko!BW460,Oeko!EJ460)</f>
        <v>1</v>
      </c>
      <c r="K460" s="1998">
        <f>IF(Construction!$F$31=Construction!$R$22,Oeko!BX460,Oeko!EK460)</f>
        <v>1</v>
      </c>
      <c r="L460" s="1998">
        <f>IF(Construction!$F$31=Construction!$R$22,Oeko!BY460,Oeko!EL460)</f>
        <v>1</v>
      </c>
      <c r="M460" s="1998">
        <f>IF(Construction!$F$31=Construction!$R$22,Oeko!BZ460,Oeko!EM460)</f>
        <v>1</v>
      </c>
      <c r="N460" s="1979">
        <f>IF(Construction!$F$31=Construction!$R$22,Oeko!CA460,Oeko!EN460)</f>
        <v>1</v>
      </c>
      <c r="O460" s="1979">
        <f>IF(Construction!$F$31=Construction!$R$22,Oeko!CB460,Oeko!EO460)</f>
        <v>1</v>
      </c>
      <c r="P460" s="1979">
        <f>IF(Construction!$F$31=Construction!$R$22,Oeko!CC460,Oeko!EP460)</f>
        <v>1</v>
      </c>
      <c r="Q460" s="1979">
        <f>IF(Construction!$F$31=Construction!$R$22,Oeko!CD460,Oeko!EQ460)</f>
        <v>1</v>
      </c>
      <c r="R460" s="1979">
        <f>IF(Construction!$F$31=Construction!$R$22,Oeko!CE460,Oeko!ER460)</f>
        <v>1</v>
      </c>
      <c r="S460" s="1998">
        <f>IF(Construction!$F$31=Construction!$R$22,Oeko!CF460,Oeko!ES460)</f>
        <v>1</v>
      </c>
      <c r="T460" s="1998">
        <f>IF(Construction!$F$31=Construction!$R$22,Oeko!CG460,Oeko!ET460)</f>
        <v>1</v>
      </c>
      <c r="U460" s="1998">
        <f>IF(Construction!$F$31=Construction!$R$22,Oeko!CH460,Oeko!EU460)</f>
        <v>1</v>
      </c>
      <c r="V460" s="1998">
        <f>IF(Construction!$F$31=Construction!$R$22,Oeko!CI460,Oeko!EV460)</f>
        <v>1</v>
      </c>
      <c r="W460" s="1998">
        <f>IF(Construction!$F$31=Construction!$R$22,Oeko!CJ460,Oeko!EW460)</f>
        <v>1</v>
      </c>
      <c r="X460" s="1979">
        <f>IF(Construction!$F$31=Construction!$R$22,Oeko!CK460,Oeko!EX460)</f>
        <v>1</v>
      </c>
      <c r="Y460" s="1979">
        <f>IF(Construction!$F$31=Construction!$R$22,Oeko!CL460,Oeko!EY460)</f>
        <v>1</v>
      </c>
      <c r="Z460" s="1979">
        <f>IF(Construction!$F$31=Construction!$R$22,Oeko!CM460,Oeko!EZ460)</f>
        <v>1</v>
      </c>
      <c r="AA460" s="1979">
        <f>IF(Construction!$F$31=Construction!$R$22,Oeko!CN460,Oeko!FA460)</f>
        <v>1</v>
      </c>
      <c r="AB460" s="1979">
        <f>IF(Construction!$F$31=Construction!$R$22,Oeko!CO460,Oeko!FB460)</f>
        <v>1</v>
      </c>
      <c r="AC460" s="1998">
        <f>IF(Construction!$F$31=Construction!$R$22,Oeko!CP460,Oeko!FC460)</f>
        <v>1</v>
      </c>
      <c r="AD460" s="1998">
        <f>IF(Construction!$F$31=Construction!$R$22,Oeko!CQ460,Oeko!FD460)</f>
        <v>1</v>
      </c>
      <c r="AE460" s="1998">
        <f>IF(Construction!$F$31=Construction!$R$22,Oeko!CR460,Oeko!FE460)</f>
        <v>1</v>
      </c>
      <c r="AF460" s="1998">
        <f>IF(Construction!$F$31=Construction!$R$22,Oeko!CS460,Oeko!FF460)</f>
        <v>1</v>
      </c>
      <c r="AG460" s="1998">
        <f>IF(Construction!$F$31=Construction!$R$22,Oeko!CT460,Oeko!FG460)</f>
        <v>1</v>
      </c>
      <c r="AH460" s="1979">
        <f>IF(Construction!$F$31=Construction!$R$22,Oeko!CU460,Oeko!FH460)</f>
        <v>1</v>
      </c>
      <c r="AI460" s="1979">
        <f>IF(Construction!$F$31=Construction!$R$22,Oeko!CV460,Oeko!FI460)</f>
        <v>1</v>
      </c>
      <c r="AJ460" s="1979">
        <f>IF(Construction!$F$31=Construction!$R$22,Oeko!CW460,Oeko!FJ460)</f>
        <v>1</v>
      </c>
      <c r="AK460" s="1979">
        <f>IF(Construction!$F$31=Construction!$R$22,Oeko!CX460,Oeko!FK460)</f>
        <v>1</v>
      </c>
      <c r="AL460" s="1979">
        <f>IF(Construction!$F$31=Construction!$R$22,Oeko!CY460,Oeko!FL460)</f>
        <v>1</v>
      </c>
      <c r="AM460" s="1998">
        <f>IF(Construction!$F$31=Construction!$R$22,Oeko!CZ460,Oeko!FM460)</f>
        <v>1</v>
      </c>
      <c r="AN460" s="1998">
        <f>IF(Construction!$F$31=Construction!$R$22,Oeko!DA460,Oeko!FN460)</f>
        <v>1</v>
      </c>
      <c r="AO460" s="1998">
        <f>IF(Construction!$F$31=Construction!$R$22,Oeko!DB460,Oeko!FO460)</f>
        <v>1</v>
      </c>
      <c r="AP460" s="1998">
        <f>IF(Construction!$F$31=Construction!$R$22,Oeko!DC460,Oeko!FP460)</f>
        <v>1</v>
      </c>
      <c r="AQ460" s="1998">
        <f>IF(Construction!$F$31=Construction!$R$22,Oeko!DD460,Oeko!FQ460)</f>
        <v>1</v>
      </c>
      <c r="AR460" s="1979">
        <f>IF(Construction!$F$31=Construction!$R$22,Oeko!DE460,Oeko!FR460)</f>
        <v>1</v>
      </c>
      <c r="AS460" s="1979">
        <f>IF(Construction!$F$31=Construction!$R$22,Oeko!DF460,Oeko!FS460)</f>
        <v>1</v>
      </c>
      <c r="AT460" s="1979">
        <f>IF(Construction!$F$31=Construction!$R$22,Oeko!DG460,Oeko!FT460)</f>
        <v>1</v>
      </c>
      <c r="AU460" s="1979">
        <f>IF(Construction!$F$31=Construction!$R$22,Oeko!DH460,Oeko!FU460)</f>
        <v>1</v>
      </c>
      <c r="AV460" s="1979">
        <f>IF(Construction!$F$31=Construction!$R$22,Oeko!DI460,Oeko!FV460)</f>
        <v>1</v>
      </c>
      <c r="AW460" s="1998">
        <f>IF(Construction!$F$31=Construction!$R$22,Oeko!DJ460,Oeko!FW460)</f>
        <v>1</v>
      </c>
      <c r="AX460" s="1998">
        <f>IF(Construction!$F$31=Construction!$R$22,Oeko!DK460,Oeko!FX460)</f>
        <v>1</v>
      </c>
      <c r="AY460" s="1998">
        <f>IF(Construction!$F$31=Construction!$R$22,Oeko!DL460,Oeko!FY460)</f>
        <v>1</v>
      </c>
      <c r="AZ460" s="1998">
        <f>IF(Construction!$F$31=Construction!$R$22,Oeko!DM460,Oeko!FZ460)</f>
        <v>1</v>
      </c>
      <c r="BA460" s="1998">
        <f>IF(Construction!$F$31=Construction!$R$22,Oeko!DN460,Oeko!GA460)</f>
        <v>1</v>
      </c>
      <c r="BB460" s="1979">
        <f>IF(Construction!$F$31=Construction!$R$22,Oeko!DO460,Oeko!GB460)</f>
        <v>1</v>
      </c>
      <c r="BC460" s="1979">
        <f>IF(Construction!$F$31=Construction!$R$22,Oeko!DP460,Oeko!GC460)</f>
        <v>1</v>
      </c>
      <c r="BD460" s="1979">
        <f>IF(Construction!$F$31=Construction!$R$22,Oeko!DQ460,Oeko!GD460)</f>
        <v>1</v>
      </c>
      <c r="BE460" s="1979">
        <f>IF(Construction!$F$31=Construction!$R$22,Oeko!DR460,Oeko!GE460)</f>
        <v>1</v>
      </c>
      <c r="BF460" s="1979">
        <f>IF(Construction!$F$31=Construction!$R$22,Oeko!DS460,Oeko!GF460)</f>
        <v>1</v>
      </c>
      <c r="BG460" s="1998">
        <f>IF(Construction!$F$31=Construction!$R$22,Oeko!DT460,Oeko!GG460)</f>
        <v>1</v>
      </c>
      <c r="BH460" s="1998">
        <f>IF(Construction!$F$31=Construction!$R$22,Oeko!DU460,Oeko!GH460)</f>
        <v>1</v>
      </c>
      <c r="BI460" s="1998">
        <f>IF(Construction!$F$31=Construction!$R$22,Oeko!DV460,Oeko!GI460)</f>
        <v>1</v>
      </c>
      <c r="BJ460" s="1998">
        <f>IF(Construction!$F$31=Construction!$R$22,Oeko!DW460,Oeko!GJ460)</f>
        <v>1</v>
      </c>
      <c r="BK460" s="2026">
        <f>IF(Construction!$F$31=Construction!$R$22,Oeko!DX460,Oeko!GK460)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IF(Construction!$F$31=Construction!$R$22,Oeko!BQ461,Oeko!ED461)</f>
        <v>1</v>
      </c>
      <c r="E461" s="1979">
        <f>IF(Construction!$F$31=Construction!$R$22,Oeko!BR461,Oeko!EE461)</f>
        <v>1</v>
      </c>
      <c r="F461" s="1979">
        <f>IF(Construction!$F$31=Construction!$R$22,Oeko!BS461,Oeko!EF461)</f>
        <v>1</v>
      </c>
      <c r="G461" s="1979">
        <f>IF(Construction!$F$31=Construction!$R$22,Oeko!BT461,Oeko!EG461)</f>
        <v>1</v>
      </c>
      <c r="H461" s="1979">
        <f>IF(Construction!$F$31=Construction!$R$22,Oeko!BU461,Oeko!EH461)</f>
        <v>1</v>
      </c>
      <c r="I461" s="1998">
        <f>IF(Construction!$F$31=Construction!$R$22,Oeko!BV461,Oeko!EI461)</f>
        <v>1</v>
      </c>
      <c r="J461" s="1998">
        <f>IF(Construction!$F$31=Construction!$R$22,Oeko!BW461,Oeko!EJ461)</f>
        <v>1</v>
      </c>
      <c r="K461" s="1998">
        <f>IF(Construction!$F$31=Construction!$R$22,Oeko!BX461,Oeko!EK461)</f>
        <v>1</v>
      </c>
      <c r="L461" s="1998">
        <f>IF(Construction!$F$31=Construction!$R$22,Oeko!BY461,Oeko!EL461)</f>
        <v>1</v>
      </c>
      <c r="M461" s="1998">
        <f>IF(Construction!$F$31=Construction!$R$22,Oeko!BZ461,Oeko!EM461)</f>
        <v>1</v>
      </c>
      <c r="N461" s="1979">
        <f>IF(Construction!$F$31=Construction!$R$22,Oeko!CA461,Oeko!EN461)</f>
        <v>1</v>
      </c>
      <c r="O461" s="1979">
        <f>IF(Construction!$F$31=Construction!$R$22,Oeko!CB461,Oeko!EO461)</f>
        <v>1</v>
      </c>
      <c r="P461" s="1979">
        <f>IF(Construction!$F$31=Construction!$R$22,Oeko!CC461,Oeko!EP461)</f>
        <v>1</v>
      </c>
      <c r="Q461" s="1979">
        <f>IF(Construction!$F$31=Construction!$R$22,Oeko!CD461,Oeko!EQ461)</f>
        <v>1</v>
      </c>
      <c r="R461" s="1979">
        <f>IF(Construction!$F$31=Construction!$R$22,Oeko!CE461,Oeko!ER461)</f>
        <v>1</v>
      </c>
      <c r="S461" s="1998">
        <f>IF(Construction!$F$31=Construction!$R$22,Oeko!CF461,Oeko!ES461)</f>
        <v>1</v>
      </c>
      <c r="T461" s="1998">
        <f>IF(Construction!$F$31=Construction!$R$22,Oeko!CG461,Oeko!ET461)</f>
        <v>1</v>
      </c>
      <c r="U461" s="1998">
        <f>IF(Construction!$F$31=Construction!$R$22,Oeko!CH461,Oeko!EU461)</f>
        <v>1</v>
      </c>
      <c r="V461" s="1998">
        <f>IF(Construction!$F$31=Construction!$R$22,Oeko!CI461,Oeko!EV461)</f>
        <v>1</v>
      </c>
      <c r="W461" s="1998">
        <f>IF(Construction!$F$31=Construction!$R$22,Oeko!CJ461,Oeko!EW461)</f>
        <v>1</v>
      </c>
      <c r="X461" s="1979">
        <f>IF(Construction!$F$31=Construction!$R$22,Oeko!CK461,Oeko!EX461)</f>
        <v>1</v>
      </c>
      <c r="Y461" s="1979">
        <f>IF(Construction!$F$31=Construction!$R$22,Oeko!CL461,Oeko!EY461)</f>
        <v>1</v>
      </c>
      <c r="Z461" s="1979">
        <f>IF(Construction!$F$31=Construction!$R$22,Oeko!CM461,Oeko!EZ461)</f>
        <v>1</v>
      </c>
      <c r="AA461" s="1979">
        <f>IF(Construction!$F$31=Construction!$R$22,Oeko!CN461,Oeko!FA461)</f>
        <v>1</v>
      </c>
      <c r="AB461" s="1979">
        <f>IF(Construction!$F$31=Construction!$R$22,Oeko!CO461,Oeko!FB461)</f>
        <v>1</v>
      </c>
      <c r="AC461" s="1998">
        <f>IF(Construction!$F$31=Construction!$R$22,Oeko!CP461,Oeko!FC461)</f>
        <v>1</v>
      </c>
      <c r="AD461" s="1998">
        <f>IF(Construction!$F$31=Construction!$R$22,Oeko!CQ461,Oeko!FD461)</f>
        <v>1</v>
      </c>
      <c r="AE461" s="1998">
        <f>IF(Construction!$F$31=Construction!$R$22,Oeko!CR461,Oeko!FE461)</f>
        <v>1</v>
      </c>
      <c r="AF461" s="1998">
        <f>IF(Construction!$F$31=Construction!$R$22,Oeko!CS461,Oeko!FF461)</f>
        <v>1</v>
      </c>
      <c r="AG461" s="1998">
        <f>IF(Construction!$F$31=Construction!$R$22,Oeko!CT461,Oeko!FG461)</f>
        <v>1</v>
      </c>
      <c r="AH461" s="1979">
        <f>IF(Construction!$F$31=Construction!$R$22,Oeko!CU461,Oeko!FH461)</f>
        <v>1</v>
      </c>
      <c r="AI461" s="1979">
        <f>IF(Construction!$F$31=Construction!$R$22,Oeko!CV461,Oeko!FI461)</f>
        <v>1</v>
      </c>
      <c r="AJ461" s="1979">
        <f>IF(Construction!$F$31=Construction!$R$22,Oeko!CW461,Oeko!FJ461)</f>
        <v>1</v>
      </c>
      <c r="AK461" s="1979">
        <f>IF(Construction!$F$31=Construction!$R$22,Oeko!CX461,Oeko!FK461)</f>
        <v>1</v>
      </c>
      <c r="AL461" s="1979">
        <f>IF(Construction!$F$31=Construction!$R$22,Oeko!CY461,Oeko!FL461)</f>
        <v>1</v>
      </c>
      <c r="AM461" s="1998">
        <f>IF(Construction!$F$31=Construction!$R$22,Oeko!CZ461,Oeko!FM461)</f>
        <v>1</v>
      </c>
      <c r="AN461" s="1998">
        <f>IF(Construction!$F$31=Construction!$R$22,Oeko!DA461,Oeko!FN461)</f>
        <v>1</v>
      </c>
      <c r="AO461" s="1998">
        <f>IF(Construction!$F$31=Construction!$R$22,Oeko!DB461,Oeko!FO461)</f>
        <v>1</v>
      </c>
      <c r="AP461" s="1998">
        <f>IF(Construction!$F$31=Construction!$R$22,Oeko!DC461,Oeko!FP461)</f>
        <v>1</v>
      </c>
      <c r="AQ461" s="1998">
        <f>IF(Construction!$F$31=Construction!$R$22,Oeko!DD461,Oeko!FQ461)</f>
        <v>1</v>
      </c>
      <c r="AR461" s="1979">
        <f>IF(Construction!$F$31=Construction!$R$22,Oeko!DE461,Oeko!FR461)</f>
        <v>1</v>
      </c>
      <c r="AS461" s="1979">
        <f>IF(Construction!$F$31=Construction!$R$22,Oeko!DF461,Oeko!FS461)</f>
        <v>1</v>
      </c>
      <c r="AT461" s="1979">
        <f>IF(Construction!$F$31=Construction!$R$22,Oeko!DG461,Oeko!FT461)</f>
        <v>1</v>
      </c>
      <c r="AU461" s="1979">
        <f>IF(Construction!$F$31=Construction!$R$22,Oeko!DH461,Oeko!FU461)</f>
        <v>1</v>
      </c>
      <c r="AV461" s="1979">
        <f>IF(Construction!$F$31=Construction!$R$22,Oeko!DI461,Oeko!FV461)</f>
        <v>1</v>
      </c>
      <c r="AW461" s="1998">
        <f>IF(Construction!$F$31=Construction!$R$22,Oeko!DJ461,Oeko!FW461)</f>
        <v>1</v>
      </c>
      <c r="AX461" s="1998">
        <f>IF(Construction!$F$31=Construction!$R$22,Oeko!DK461,Oeko!FX461)</f>
        <v>1</v>
      </c>
      <c r="AY461" s="1998">
        <f>IF(Construction!$F$31=Construction!$R$22,Oeko!DL461,Oeko!FY461)</f>
        <v>1</v>
      </c>
      <c r="AZ461" s="1998">
        <f>IF(Construction!$F$31=Construction!$R$22,Oeko!DM461,Oeko!FZ461)</f>
        <v>1</v>
      </c>
      <c r="BA461" s="1998">
        <f>IF(Construction!$F$31=Construction!$R$22,Oeko!DN461,Oeko!GA461)</f>
        <v>1</v>
      </c>
      <c r="BB461" s="1979">
        <f>IF(Construction!$F$31=Construction!$R$22,Oeko!DO461,Oeko!GB461)</f>
        <v>1</v>
      </c>
      <c r="BC461" s="1979">
        <f>IF(Construction!$F$31=Construction!$R$22,Oeko!DP461,Oeko!GC461)</f>
        <v>1</v>
      </c>
      <c r="BD461" s="1979">
        <f>IF(Construction!$F$31=Construction!$R$22,Oeko!DQ461,Oeko!GD461)</f>
        <v>1</v>
      </c>
      <c r="BE461" s="1979">
        <f>IF(Construction!$F$31=Construction!$R$22,Oeko!DR461,Oeko!GE461)</f>
        <v>1</v>
      </c>
      <c r="BF461" s="1979">
        <f>IF(Construction!$F$31=Construction!$R$22,Oeko!DS461,Oeko!GF461)</f>
        <v>1</v>
      </c>
      <c r="BG461" s="1998">
        <f>IF(Construction!$F$31=Construction!$R$22,Oeko!DT461,Oeko!GG461)</f>
        <v>1</v>
      </c>
      <c r="BH461" s="1998">
        <f>IF(Construction!$F$31=Construction!$R$22,Oeko!DU461,Oeko!GH461)</f>
        <v>1</v>
      </c>
      <c r="BI461" s="1998">
        <f>IF(Construction!$F$31=Construction!$R$22,Oeko!DV461,Oeko!GI461)</f>
        <v>1</v>
      </c>
      <c r="BJ461" s="1998">
        <f>IF(Construction!$F$31=Construction!$R$22,Oeko!DW461,Oeko!GJ461)</f>
        <v>1</v>
      </c>
      <c r="BK461" s="2026">
        <f>IF(Construction!$F$31=Construction!$R$22,Oeko!DX461,Oeko!GK461)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IF(Construction!$F$31=Construction!$R$22,Oeko!BQ462,Oeko!ED462)</f>
        <v>1</v>
      </c>
      <c r="E462" s="1979">
        <f>IF(Construction!$F$31=Construction!$R$22,Oeko!BR462,Oeko!EE462)</f>
        <v>1</v>
      </c>
      <c r="F462" s="1979">
        <f>IF(Construction!$F$31=Construction!$R$22,Oeko!BS462,Oeko!EF462)</f>
        <v>1</v>
      </c>
      <c r="G462" s="1979">
        <f>IF(Construction!$F$31=Construction!$R$22,Oeko!BT462,Oeko!EG462)</f>
        <v>1</v>
      </c>
      <c r="H462" s="1979">
        <f>IF(Construction!$F$31=Construction!$R$22,Oeko!BU462,Oeko!EH462)</f>
        <v>1</v>
      </c>
      <c r="I462" s="1998">
        <f>IF(Construction!$F$31=Construction!$R$22,Oeko!BV462,Oeko!EI462)</f>
        <v>1</v>
      </c>
      <c r="J462" s="1998">
        <f>IF(Construction!$F$31=Construction!$R$22,Oeko!BW462,Oeko!EJ462)</f>
        <v>1</v>
      </c>
      <c r="K462" s="1998">
        <f>IF(Construction!$F$31=Construction!$R$22,Oeko!BX462,Oeko!EK462)</f>
        <v>1</v>
      </c>
      <c r="L462" s="1998">
        <f>IF(Construction!$F$31=Construction!$R$22,Oeko!BY462,Oeko!EL462)</f>
        <v>1</v>
      </c>
      <c r="M462" s="1998">
        <f>IF(Construction!$F$31=Construction!$R$22,Oeko!BZ462,Oeko!EM462)</f>
        <v>1</v>
      </c>
      <c r="N462" s="1979">
        <f>IF(Construction!$F$31=Construction!$R$22,Oeko!CA462,Oeko!EN462)</f>
        <v>1</v>
      </c>
      <c r="O462" s="1979">
        <f>IF(Construction!$F$31=Construction!$R$22,Oeko!CB462,Oeko!EO462)</f>
        <v>1</v>
      </c>
      <c r="P462" s="1979">
        <f>IF(Construction!$F$31=Construction!$R$22,Oeko!CC462,Oeko!EP462)</f>
        <v>1</v>
      </c>
      <c r="Q462" s="1979">
        <f>IF(Construction!$F$31=Construction!$R$22,Oeko!CD462,Oeko!EQ462)</f>
        <v>1</v>
      </c>
      <c r="R462" s="1979">
        <f>IF(Construction!$F$31=Construction!$R$22,Oeko!CE462,Oeko!ER462)</f>
        <v>1</v>
      </c>
      <c r="S462" s="1998">
        <f>IF(Construction!$F$31=Construction!$R$22,Oeko!CF462,Oeko!ES462)</f>
        <v>1</v>
      </c>
      <c r="T462" s="1998">
        <f>IF(Construction!$F$31=Construction!$R$22,Oeko!CG462,Oeko!ET462)</f>
        <v>1</v>
      </c>
      <c r="U462" s="1998">
        <f>IF(Construction!$F$31=Construction!$R$22,Oeko!CH462,Oeko!EU462)</f>
        <v>1</v>
      </c>
      <c r="V462" s="1998">
        <f>IF(Construction!$F$31=Construction!$R$22,Oeko!CI462,Oeko!EV462)</f>
        <v>1</v>
      </c>
      <c r="W462" s="1998">
        <f>IF(Construction!$F$31=Construction!$R$22,Oeko!CJ462,Oeko!EW462)</f>
        <v>1</v>
      </c>
      <c r="X462" s="1979">
        <f>IF(Construction!$F$31=Construction!$R$22,Oeko!CK462,Oeko!EX462)</f>
        <v>1</v>
      </c>
      <c r="Y462" s="1979">
        <f>IF(Construction!$F$31=Construction!$R$22,Oeko!CL462,Oeko!EY462)</f>
        <v>1</v>
      </c>
      <c r="Z462" s="1979">
        <f>IF(Construction!$F$31=Construction!$R$22,Oeko!CM462,Oeko!EZ462)</f>
        <v>1</v>
      </c>
      <c r="AA462" s="1979">
        <f>IF(Construction!$F$31=Construction!$R$22,Oeko!CN462,Oeko!FA462)</f>
        <v>1</v>
      </c>
      <c r="AB462" s="1979">
        <f>IF(Construction!$F$31=Construction!$R$22,Oeko!CO462,Oeko!FB462)</f>
        <v>1</v>
      </c>
      <c r="AC462" s="1998">
        <f>IF(Construction!$F$31=Construction!$R$22,Oeko!CP462,Oeko!FC462)</f>
        <v>1</v>
      </c>
      <c r="AD462" s="1998">
        <f>IF(Construction!$F$31=Construction!$R$22,Oeko!CQ462,Oeko!FD462)</f>
        <v>1</v>
      </c>
      <c r="AE462" s="1998">
        <f>IF(Construction!$F$31=Construction!$R$22,Oeko!CR462,Oeko!FE462)</f>
        <v>1</v>
      </c>
      <c r="AF462" s="1998">
        <f>IF(Construction!$F$31=Construction!$R$22,Oeko!CS462,Oeko!FF462)</f>
        <v>1</v>
      </c>
      <c r="AG462" s="1998">
        <f>IF(Construction!$F$31=Construction!$R$22,Oeko!CT462,Oeko!FG462)</f>
        <v>1</v>
      </c>
      <c r="AH462" s="1979">
        <f>IF(Construction!$F$31=Construction!$R$22,Oeko!CU462,Oeko!FH462)</f>
        <v>1</v>
      </c>
      <c r="AI462" s="1979">
        <f>IF(Construction!$F$31=Construction!$R$22,Oeko!CV462,Oeko!FI462)</f>
        <v>1</v>
      </c>
      <c r="AJ462" s="1979">
        <f>IF(Construction!$F$31=Construction!$R$22,Oeko!CW462,Oeko!FJ462)</f>
        <v>1</v>
      </c>
      <c r="AK462" s="1979">
        <f>IF(Construction!$F$31=Construction!$R$22,Oeko!CX462,Oeko!FK462)</f>
        <v>1</v>
      </c>
      <c r="AL462" s="1979">
        <f>IF(Construction!$F$31=Construction!$R$22,Oeko!CY462,Oeko!FL462)</f>
        <v>1</v>
      </c>
      <c r="AM462" s="1998">
        <f>IF(Construction!$F$31=Construction!$R$22,Oeko!CZ462,Oeko!FM462)</f>
        <v>1</v>
      </c>
      <c r="AN462" s="1998">
        <f>IF(Construction!$F$31=Construction!$R$22,Oeko!DA462,Oeko!FN462)</f>
        <v>1</v>
      </c>
      <c r="AO462" s="1998">
        <f>IF(Construction!$F$31=Construction!$R$22,Oeko!DB462,Oeko!FO462)</f>
        <v>1</v>
      </c>
      <c r="AP462" s="1998">
        <f>IF(Construction!$F$31=Construction!$R$22,Oeko!DC462,Oeko!FP462)</f>
        <v>1</v>
      </c>
      <c r="AQ462" s="1998">
        <f>IF(Construction!$F$31=Construction!$R$22,Oeko!DD462,Oeko!FQ462)</f>
        <v>1</v>
      </c>
      <c r="AR462" s="1979">
        <f>IF(Construction!$F$31=Construction!$R$22,Oeko!DE462,Oeko!FR462)</f>
        <v>1</v>
      </c>
      <c r="AS462" s="1979">
        <f>IF(Construction!$F$31=Construction!$R$22,Oeko!DF462,Oeko!FS462)</f>
        <v>1</v>
      </c>
      <c r="AT462" s="1979">
        <f>IF(Construction!$F$31=Construction!$R$22,Oeko!DG462,Oeko!FT462)</f>
        <v>1</v>
      </c>
      <c r="AU462" s="1979">
        <f>IF(Construction!$F$31=Construction!$R$22,Oeko!DH462,Oeko!FU462)</f>
        <v>1</v>
      </c>
      <c r="AV462" s="1979">
        <f>IF(Construction!$F$31=Construction!$R$22,Oeko!DI462,Oeko!FV462)</f>
        <v>1</v>
      </c>
      <c r="AW462" s="1998">
        <f>IF(Construction!$F$31=Construction!$R$22,Oeko!DJ462,Oeko!FW462)</f>
        <v>1</v>
      </c>
      <c r="AX462" s="1998">
        <f>IF(Construction!$F$31=Construction!$R$22,Oeko!DK462,Oeko!FX462)</f>
        <v>1</v>
      </c>
      <c r="AY462" s="1998">
        <f>IF(Construction!$F$31=Construction!$R$22,Oeko!DL462,Oeko!FY462)</f>
        <v>1</v>
      </c>
      <c r="AZ462" s="1998">
        <f>IF(Construction!$F$31=Construction!$R$22,Oeko!DM462,Oeko!FZ462)</f>
        <v>1</v>
      </c>
      <c r="BA462" s="1998">
        <f>IF(Construction!$F$31=Construction!$R$22,Oeko!DN462,Oeko!GA462)</f>
        <v>1</v>
      </c>
      <c r="BB462" s="1979">
        <f>IF(Construction!$F$31=Construction!$R$22,Oeko!DO462,Oeko!GB462)</f>
        <v>1</v>
      </c>
      <c r="BC462" s="1979">
        <f>IF(Construction!$F$31=Construction!$R$22,Oeko!DP462,Oeko!GC462)</f>
        <v>1</v>
      </c>
      <c r="BD462" s="1979">
        <f>IF(Construction!$F$31=Construction!$R$22,Oeko!DQ462,Oeko!GD462)</f>
        <v>1</v>
      </c>
      <c r="BE462" s="1979">
        <f>IF(Construction!$F$31=Construction!$R$22,Oeko!DR462,Oeko!GE462)</f>
        <v>1</v>
      </c>
      <c r="BF462" s="1979">
        <f>IF(Construction!$F$31=Construction!$R$22,Oeko!DS462,Oeko!GF462)</f>
        <v>1</v>
      </c>
      <c r="BG462" s="1998">
        <f>IF(Construction!$F$31=Construction!$R$22,Oeko!DT462,Oeko!GG462)</f>
        <v>1</v>
      </c>
      <c r="BH462" s="1998">
        <f>IF(Construction!$F$31=Construction!$R$22,Oeko!DU462,Oeko!GH462)</f>
        <v>1</v>
      </c>
      <c r="BI462" s="1998">
        <f>IF(Construction!$F$31=Construction!$R$22,Oeko!DV462,Oeko!GI462)</f>
        <v>1</v>
      </c>
      <c r="BJ462" s="1998">
        <f>IF(Construction!$F$31=Construction!$R$22,Oeko!DW462,Oeko!GJ462)</f>
        <v>1</v>
      </c>
      <c r="BK462" s="2026">
        <f>IF(Construction!$F$31=Construction!$R$22,Oeko!DX462,Oeko!GK462)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Construction en bois légère</v>
      </c>
      <c r="B463" s="2">
        <v>1</v>
      </c>
      <c r="C463" s="2" t="s">
        <v>4329</v>
      </c>
      <c r="D463" s="2004">
        <f>IF(Construction!$F$31=Construction!$R$22,Oeko!BQ463,Oeko!ED463)</f>
        <v>17.753644060463049</v>
      </c>
      <c r="E463" s="2004">
        <f>IF(Construction!$F$31=Construction!$R$22,Oeko!BR463,Oeko!EE463)</f>
        <v>5.5778329055029667</v>
      </c>
      <c r="F463" s="2004">
        <f>IF(Construction!$F$31=Construction!$R$22,Oeko!BS463,Oeko!EF463)</f>
        <v>5.6420229235722497</v>
      </c>
      <c r="G463" s="2004">
        <f>IF(Construction!$F$31=Construction!$R$22,Oeko!BT463,Oeko!EG463)</f>
        <v>5.7273169480240433</v>
      </c>
      <c r="H463" s="2004">
        <f>IF(Construction!$F$31=Construction!$R$22,Oeko!BU463,Oeko!EH463)</f>
        <v>5.8126109724758361</v>
      </c>
      <c r="I463" s="2002">
        <f>IF(Construction!$F$31=Construction!$R$22,Oeko!BV463,Oeko!EI463)</f>
        <v>51.513437768054608</v>
      </c>
      <c r="J463" s="2002">
        <f>IF(Construction!$F$31=Construction!$R$22,Oeko!BW463,Oeko!EJ463)</f>
        <v>10.063539929115342</v>
      </c>
      <c r="K463" s="2002">
        <f>IF(Construction!$F$31=Construction!$R$22,Oeko!BX463,Oeko!EK463)</f>
        <v>10.162019678809536</v>
      </c>
      <c r="L463" s="2002">
        <f>IF(Construction!$F$31=Construction!$R$22,Oeko!BY463,Oeko!EL463)</f>
        <v>10.308238006441181</v>
      </c>
      <c r="M463" s="2002">
        <f>IF(Construction!$F$31=Construction!$R$22,Oeko!BZ463,Oeko!EM463)</f>
        <v>10.454456334072827</v>
      </c>
      <c r="N463" s="2004">
        <f>IF(Construction!$F$31=Construction!$R$22,Oeko!CA463,Oeko!EN463)</f>
        <v>5.334510639422481</v>
      </c>
      <c r="O463" s="2004">
        <f>IF(Construction!$F$31=Construction!$R$22,Oeko!CB463,Oeko!EO463)</f>
        <v>5.4180639694977071</v>
      </c>
      <c r="P463" s="2004">
        <f>IF(Construction!$F$31=Construction!$R$22,Oeko!CC463,Oeko!EP463)</f>
        <v>5.4256597267772726</v>
      </c>
      <c r="Q463" s="2004">
        <f>IF(Construction!$F$31=Construction!$R$22,Oeko!CD463,Oeko!EQ463)</f>
        <v>5.433255484056839</v>
      </c>
      <c r="R463" s="2004">
        <f>IF(Construction!$F$31=Construction!$R$22,Oeko!CE463,Oeko!ER463)</f>
        <v>5.4471810390693758</v>
      </c>
      <c r="S463" s="2002">
        <f>IF(Construction!$F$31=Construction!$R$22,Oeko!CF463,Oeko!ES463)</f>
        <v>6.9371096895853031</v>
      </c>
      <c r="T463" s="2002">
        <f>IF(Construction!$F$31=Construction!$R$22,Oeko!CG463,Oeko!ET463)</f>
        <v>7.0467734353090359</v>
      </c>
      <c r="U463" s="2002">
        <f>IF(Construction!$F$31=Construction!$R$22,Oeko!CH463,Oeko!EU463)</f>
        <v>7.0577398098814097</v>
      </c>
      <c r="V463" s="2002">
        <f>IF(Construction!$F$31=Construction!$R$22,Oeko!CI463,Oeko!EV463)</f>
        <v>7.0687061844537826</v>
      </c>
      <c r="W463" s="2002">
        <f>IF(Construction!$F$31=Construction!$R$22,Oeko!CJ463,Oeko!EW463)</f>
        <v>7.0888112045031342</v>
      </c>
      <c r="X463" s="2004">
        <f>IF(Construction!$F$31=Construction!$R$22,Oeko!CK463,Oeko!EX463)</f>
        <v>5.2909841467262604</v>
      </c>
      <c r="Y463" s="2004">
        <f>IF(Construction!$F$31=Construction!$R$22,Oeko!CL463,Oeko!EY463)</f>
        <v>5.3787151433052465</v>
      </c>
      <c r="Z463" s="2004">
        <f>IF(Construction!$F$31=Construction!$R$22,Oeko!CM463,Oeko!EZ463)</f>
        <v>5.3912481428165311</v>
      </c>
      <c r="AA463" s="2004">
        <f>IF(Construction!$F$31=Construction!$R$22,Oeko!CN463,Oeko!FA463)</f>
        <v>5.4037811423278148</v>
      </c>
      <c r="AB463" s="2004">
        <f>IF(Construction!$F$31=Construction!$R$22,Oeko!CO463,Oeko!FB463)</f>
        <v>5.4267583080985027</v>
      </c>
      <c r="AC463" s="2002">
        <f>IF(Construction!$F$31=Construction!$R$22,Oeko!CP463,Oeko!FC463)</f>
        <v>4.6513881511415684</v>
      </c>
      <c r="AD463" s="2002">
        <f>IF(Construction!$F$31=Construction!$R$22,Oeko!CQ463,Oeko!FD463)</f>
        <v>4.7244973149573903</v>
      </c>
      <c r="AE463" s="2002">
        <f>IF(Construction!$F$31=Construction!$R$22,Oeko!CR463,Oeko!FE463)</f>
        <v>4.7366821755933612</v>
      </c>
      <c r="AF463" s="2002">
        <f>IF(Construction!$F$31=Construction!$R$22,Oeko!CS463,Oeko!FF463)</f>
        <v>4.7488670362293313</v>
      </c>
      <c r="AG463" s="2002">
        <f>IF(Construction!$F$31=Construction!$R$22,Oeko!CT463,Oeko!FG463)</f>
        <v>4.7712059473952779</v>
      </c>
      <c r="AH463" s="2004">
        <f>IF(Construction!$F$31=Construction!$R$22,Oeko!CU463,Oeko!FH463)</f>
        <v>9.7363394558706808</v>
      </c>
      <c r="AI463" s="2004">
        <f>IF(Construction!$F$31=Construction!$R$22,Oeko!CV463,Oeko!FI463)</f>
        <v>9.8094486196865027</v>
      </c>
      <c r="AJ463" s="2004">
        <f>IF(Construction!$F$31=Construction!$R$22,Oeko!CW463,Oeko!FJ463)</f>
        <v>9.8764653531843418</v>
      </c>
      <c r="AK463" s="2004">
        <f>IF(Construction!$F$31=Construction!$R$22,Oeko!CX463,Oeko!FK463)</f>
        <v>9.9495745170001619</v>
      </c>
      <c r="AL463" s="2004">
        <f>IF(Construction!$F$31=Construction!$R$22,Oeko!CY463,Oeko!FL463)</f>
        <v>10.126254996221732</v>
      </c>
      <c r="AM463" s="2002">
        <f>IF(Construction!$F$31=Construction!$R$22,Oeko!CZ463,Oeko!FM463)</f>
        <v>17.819257293118508</v>
      </c>
      <c r="AN463" s="2002">
        <f>IF(Construction!$F$31=Construction!$R$22,Oeko!DA463,Oeko!FN463)</f>
        <v>6.0541400862582702</v>
      </c>
      <c r="AO463" s="2002">
        <f>IF(Construction!$F$31=Construction!$R$22,Oeko!DB463,Oeko!FO463)</f>
        <v>6.1287080387823529</v>
      </c>
      <c r="AP463" s="2002">
        <f>IF(Construction!$F$31=Construction!$R$22,Oeko!DC463,Oeko!FP463)</f>
        <v>6.2261869238701157</v>
      </c>
      <c r="AQ463" s="2002">
        <f>IF(Construction!$F$31=Construction!$R$22,Oeko!DD463,Oeko!FQ463)</f>
        <v>6.3236658089578794</v>
      </c>
      <c r="AR463" s="2004">
        <f>IF(Construction!$F$31=Construction!$R$22,Oeko!DE463,Oeko!FR463)</f>
        <v>74.248589405678246</v>
      </c>
      <c r="AS463" s="2004">
        <f>IF(Construction!$F$31=Construction!$R$22,Oeko!DF463,Oeko!FS463)</f>
        <v>74.584843924053871</v>
      </c>
      <c r="AT463" s="2004">
        <f>IF(Construction!$F$31=Construction!$R$22,Oeko!DG463,Oeko!FT463)</f>
        <v>74.893077232564849</v>
      </c>
      <c r="AU463" s="2004">
        <f>IF(Construction!$F$31=Construction!$R$22,Oeko!DH463,Oeko!FU463)</f>
        <v>75.229331750940489</v>
      </c>
      <c r="AV463" s="2004">
        <f>IF(Construction!$F$31=Construction!$R$22,Oeko!DI463,Oeko!FV463)</f>
        <v>76.041946837014905</v>
      </c>
      <c r="AW463" s="2002">
        <f>IF(Construction!$F$31=Construction!$R$22,Oeko!DJ463,Oeko!FW463)</f>
        <v>72.971795483714715</v>
      </c>
      <c r="AX463" s="2002">
        <f>IF(Construction!$F$31=Construction!$R$22,Oeko!DK463,Oeko!FX463)</f>
        <v>73.307383513925217</v>
      </c>
      <c r="AY463" s="2002">
        <f>IF(Construction!$F$31=Construction!$R$22,Oeko!DL463,Oeko!FY463)</f>
        <v>73.615005874951521</v>
      </c>
      <c r="AZ463" s="2002">
        <f>IF(Construction!$F$31=Construction!$R$22,Oeko!DM463,Oeko!FZ463)</f>
        <v>73.950593905162037</v>
      </c>
      <c r="BA463" s="2002">
        <f>IF(Construction!$F$31=Construction!$R$22,Oeko!DN463,Oeko!GA463)</f>
        <v>74.761598311504088</v>
      </c>
      <c r="BB463" s="2004">
        <f>IF(Construction!$F$31=Construction!$R$22,Oeko!DO463,Oeko!GB463)</f>
        <v>4.5782554003416998</v>
      </c>
      <c r="BC463" s="2004">
        <f>IF(Construction!$F$31=Construction!$R$22,Oeko!DP463,Oeko!GC463)</f>
        <v>4.6359566902331295</v>
      </c>
      <c r="BD463" s="2004">
        <f>IF(Construction!$F$31=Construction!$R$22,Oeko!DQ463,Oeko!GD463)</f>
        <v>4.6936579801245584</v>
      </c>
      <c r="BE463" s="2004">
        <f>IF(Construction!$F$31=Construction!$R$22,Oeko!DR463,Oeko!GE463)</f>
        <v>4.7513592700159881</v>
      </c>
      <c r="BF463" s="2004">
        <f>IF(Construction!$F$31=Construction!$R$22,Oeko!DS463,Oeko!GF463)</f>
        <v>4.8090605599074188</v>
      </c>
      <c r="BG463" s="2002">
        <f>IF(Construction!$F$31=Construction!$R$22,Oeko!DT463,Oeko!GG463)</f>
        <v>4.6012863203074685</v>
      </c>
      <c r="BH463" s="2002">
        <f>IF(Construction!$F$31=Construction!$R$22,Oeko!DU463,Oeko!GH463)</f>
        <v>4.6875195359689013</v>
      </c>
      <c r="BI463" s="2002">
        <f>IF(Construction!$F$31=Construction!$R$22,Oeko!DV463,Oeko!GI463)</f>
        <v>4.7737527516303349</v>
      </c>
      <c r="BJ463" s="2002">
        <f>IF(Construction!$F$31=Construction!$R$22,Oeko!DW463,Oeko!GJ463)</f>
        <v>4.8599859672917658</v>
      </c>
      <c r="BK463" s="2027">
        <f>IF(Construction!$F$31=Construction!$R$22,Oeko!DX463,Oeko!GK463)</f>
        <v>4.9462191829531985</v>
      </c>
      <c r="BN463" s="2029" t="str">
        <f>Uebersetzung!$D633</f>
        <v>Construction en bois légère</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Construction en bois légère</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IF(Construction!$F$31=Construction!$R$22,Oeko!BQ464,Oeko!ED464)</f>
        <v>18.323335161824179</v>
      </c>
      <c r="E464" s="1998">
        <f>IF(Construction!$F$31=Construction!$R$22,Oeko!BR464,Oeko!EE464)</f>
        <v>5.56366185546353</v>
      </c>
      <c r="F464" s="1998">
        <f>IF(Construction!$F$31=Construction!$R$22,Oeko!BS464,Oeko!EF464)</f>
        <v>5.6275238575499298</v>
      </c>
      <c r="G464" s="1998">
        <f>IF(Construction!$F$31=Construction!$R$22,Oeko!BT464,Oeko!EG464)</f>
        <v>5.7128178820017235</v>
      </c>
      <c r="H464" s="1998">
        <f>IF(Construction!$F$31=Construction!$R$22,Oeko!BU464,Oeko!EH464)</f>
        <v>5.7981119064535154</v>
      </c>
      <c r="I464" s="1979">
        <f>IF(Construction!$F$31=Construction!$R$22,Oeko!BV464,Oeko!EI464)</f>
        <v>57.211159224262794</v>
      </c>
      <c r="J464" s="1979">
        <f>IF(Construction!$F$31=Construction!$R$22,Oeko!BW464,Oeko!EJ464)</f>
        <v>10.381497027780368</v>
      </c>
      <c r="K464" s="1979">
        <f>IF(Construction!$F$31=Construction!$R$22,Oeko!BX464,Oeko!EK464)</f>
        <v>10.476954405345822</v>
      </c>
      <c r="L464" s="1979">
        <f>IF(Construction!$F$31=Construction!$R$22,Oeko!BY464,Oeko!EL464)</f>
        <v>10.623172732977466</v>
      </c>
      <c r="M464" s="1979">
        <f>IF(Construction!$F$31=Construction!$R$22,Oeko!BZ464,Oeko!EM464)</f>
        <v>10.769391060609109</v>
      </c>
      <c r="N464" s="1998">
        <f>IF(Construction!$F$31=Construction!$R$22,Oeko!CA464,Oeko!EN464)</f>
        <v>5.4292075073672397</v>
      </c>
      <c r="O464" s="1998">
        <f>IF(Construction!$F$31=Construction!$R$22,Oeko!CB464,Oeko!EO464)</f>
        <v>5.5127608374424657</v>
      </c>
      <c r="P464" s="1998">
        <f>IF(Construction!$F$31=Construction!$R$22,Oeko!CC464,Oeko!EP464)</f>
        <v>5.5203565947220312</v>
      </c>
      <c r="Q464" s="1998">
        <f>IF(Construction!$F$31=Construction!$R$22,Oeko!CD464,Oeko!EQ464)</f>
        <v>5.5279523520015985</v>
      </c>
      <c r="R464" s="1998">
        <f>IF(Construction!$F$31=Construction!$R$22,Oeko!CE464,Oeko!ER464)</f>
        <v>5.5418779070141353</v>
      </c>
      <c r="S464" s="1979">
        <f>IF(Construction!$F$31=Construction!$R$22,Oeko!CF464,Oeko!ES464)</f>
        <v>6.8974176174765454</v>
      </c>
      <c r="T464" s="1979">
        <f>IF(Construction!$F$31=Construction!$R$22,Oeko!CG464,Oeko!ET464)</f>
        <v>7.0070813632002782</v>
      </c>
      <c r="U464" s="1979">
        <f>IF(Construction!$F$31=Construction!$R$22,Oeko!CH464,Oeko!EU464)</f>
        <v>7.01926622383625</v>
      </c>
      <c r="V464" s="1979">
        <f>IF(Construction!$F$31=Construction!$R$22,Oeko!CI464,Oeko!EV464)</f>
        <v>7.0314510844722191</v>
      </c>
      <c r="W464" s="1979">
        <f>IF(Construction!$F$31=Construction!$R$22,Oeko!CJ464,Oeko!EW464)</f>
        <v>7.0537899956381649</v>
      </c>
      <c r="X464" s="1998">
        <f>IF(Construction!$F$31=Construction!$R$22,Oeko!CK464,Oeko!EX464)</f>
        <v>5.4884329141585093</v>
      </c>
      <c r="Y464" s="1998">
        <f>IF(Construction!$F$31=Construction!$R$22,Oeko!CL464,Oeko!EY464)</f>
        <v>5.5761639107374954</v>
      </c>
      <c r="Z464" s="1998">
        <f>IF(Construction!$F$31=Construction!$R$22,Oeko!CM464,Oeko!EZ464)</f>
        <v>5.5886969102487791</v>
      </c>
      <c r="AA464" s="1998">
        <f>IF(Construction!$F$31=Construction!$R$22,Oeko!CN464,Oeko!FA464)</f>
        <v>5.6012299097600637</v>
      </c>
      <c r="AB464" s="1998">
        <f>IF(Construction!$F$31=Construction!$R$22,Oeko!CO464,Oeko!FB464)</f>
        <v>5.6242070755307498</v>
      </c>
      <c r="AC464" s="1979">
        <f>IF(Construction!$F$31=Construction!$R$22,Oeko!CP464,Oeko!FC464)</f>
        <v>4.838887949672193</v>
      </c>
      <c r="AD464" s="1979">
        <f>IF(Construction!$F$31=Construction!$R$22,Oeko!CQ464,Oeko!FD464)</f>
        <v>4.911997113488014</v>
      </c>
      <c r="AE464" s="1979">
        <f>IF(Construction!$F$31=Construction!$R$22,Oeko!CR464,Oeko!FE464)</f>
        <v>4.924181974123985</v>
      </c>
      <c r="AF464" s="1979">
        <f>IF(Construction!$F$31=Construction!$R$22,Oeko!CS464,Oeko!FF464)</f>
        <v>4.936366834759955</v>
      </c>
      <c r="AG464" s="1979">
        <f>IF(Construction!$F$31=Construction!$R$22,Oeko!CT464,Oeko!FG464)</f>
        <v>4.9587057459259007</v>
      </c>
      <c r="AH464" s="1998">
        <f>IF(Construction!$F$31=Construction!$R$22,Oeko!CU464,Oeko!FH464)</f>
        <v>10.037678417794899</v>
      </c>
      <c r="AI464" s="1998">
        <f>IF(Construction!$F$31=Construction!$R$22,Oeko!CV464,Oeko!FI464)</f>
        <v>10.110787581610721</v>
      </c>
      <c r="AJ464" s="1998">
        <f>IF(Construction!$F$31=Construction!$R$22,Oeko!CW464,Oeko!FJ464)</f>
        <v>10.177804315108558</v>
      </c>
      <c r="AK464" s="1998">
        <f>IF(Construction!$F$31=Construction!$R$22,Oeko!CX464,Oeko!FK464)</f>
        <v>10.25091347892438</v>
      </c>
      <c r="AL464" s="1998">
        <f>IF(Construction!$F$31=Construction!$R$22,Oeko!CY464,Oeko!FL464)</f>
        <v>10.42759395814595</v>
      </c>
      <c r="AM464" s="1979">
        <f>IF(Construction!$F$31=Construction!$R$22,Oeko!CZ464,Oeko!FM464)</f>
        <v>17.87934415081094</v>
      </c>
      <c r="AN464" s="1979">
        <f>IF(Construction!$F$31=Construction!$R$22,Oeko!DA464,Oeko!FN464)</f>
        <v>6.0193261752151193</v>
      </c>
      <c r="AO464" s="1979">
        <f>IF(Construction!$F$31=Construction!$R$22,Oeko!DB464,Oeko!FO464)</f>
        <v>6.0938408121254763</v>
      </c>
      <c r="AP464" s="1979">
        <f>IF(Construction!$F$31=Construction!$R$22,Oeko!DC464,Oeko!FP464)</f>
        <v>6.1913196972132409</v>
      </c>
      <c r="AQ464" s="1979">
        <f>IF(Construction!$F$31=Construction!$R$22,Oeko!DD464,Oeko!FQ464)</f>
        <v>6.2887985823010037</v>
      </c>
      <c r="AR464" s="1998">
        <f>IF(Construction!$F$31=Construction!$R$22,Oeko!DE464,Oeko!FR464)</f>
        <v>73.438724147903812</v>
      </c>
      <c r="AS464" s="1998">
        <f>IF(Construction!$F$31=Construction!$R$22,Oeko!DF464,Oeko!FS464)</f>
        <v>73.831021086008718</v>
      </c>
      <c r="AT464" s="1998">
        <f>IF(Construction!$F$31=Construction!$R$22,Oeko!DG464,Oeko!FT464)</f>
        <v>74.190626612604859</v>
      </c>
      <c r="AU464" s="1998">
        <f>IF(Construction!$F$31=Construction!$R$22,Oeko!DH464,Oeko!FU464)</f>
        <v>74.582923550709751</v>
      </c>
      <c r="AV464" s="1998">
        <f>IF(Construction!$F$31=Construction!$R$22,Oeko!DI464,Oeko!FV464)</f>
        <v>75.530974484463243</v>
      </c>
      <c r="AW464" s="1979">
        <f>IF(Construction!$F$31=Construction!$R$22,Oeko!DJ464,Oeko!FW464)</f>
        <v>71.107279829802991</v>
      </c>
      <c r="AX464" s="1979">
        <f>IF(Construction!$F$31=Construction!$R$22,Oeko!DK464,Oeko!FX464)</f>
        <v>71.5771030720977</v>
      </c>
      <c r="AY464" s="1979">
        <f>IF(Construction!$F$31=Construction!$R$22,Oeko!DL464,Oeko!FY464)</f>
        <v>72.007774377534517</v>
      </c>
      <c r="AZ464" s="1979">
        <f>IF(Construction!$F$31=Construction!$R$22,Oeko!DM464,Oeko!FZ464)</f>
        <v>72.47759761982924</v>
      </c>
      <c r="BA464" s="1979">
        <f>IF(Construction!$F$31=Construction!$R$22,Oeko!DN464,Oeko!GA464)</f>
        <v>73.613003788708127</v>
      </c>
      <c r="BB464" s="1998">
        <f>IF(Construction!$F$31=Construction!$R$22,Oeko!DO464,Oeko!GB464)</f>
        <v>4.5745877462817974</v>
      </c>
      <c r="BC464" s="1998">
        <f>IF(Construction!$F$31=Construction!$R$22,Oeko!DP464,Oeko!GC464)</f>
        <v>4.6438292941515122</v>
      </c>
      <c r="BD464" s="1998">
        <f>IF(Construction!$F$31=Construction!$R$22,Oeko!DQ464,Oeko!GD464)</f>
        <v>4.7130708420212279</v>
      </c>
      <c r="BE464" s="1998">
        <f>IF(Construction!$F$31=Construction!$R$22,Oeko!DR464,Oeko!GE464)</f>
        <v>4.7823123898909445</v>
      </c>
      <c r="BF464" s="1998">
        <f>IF(Construction!$F$31=Construction!$R$22,Oeko!DS464,Oeko!GF464)</f>
        <v>4.8515539377606594</v>
      </c>
      <c r="BG464" s="1979">
        <f>IF(Construction!$F$31=Construction!$R$22,Oeko!DT464,Oeko!GG464)</f>
        <v>4.6339698375374825</v>
      </c>
      <c r="BH464" s="1979">
        <f>IF(Construction!$F$31=Construction!$R$22,Oeko!DU464,Oeko!GH464)</f>
        <v>4.7202030531989143</v>
      </c>
      <c r="BI464" s="1979">
        <f>IF(Construction!$F$31=Construction!$R$22,Oeko!DV464,Oeko!GI464)</f>
        <v>4.806436268860347</v>
      </c>
      <c r="BJ464" s="1979">
        <f>IF(Construction!$F$31=Construction!$R$22,Oeko!DW464,Oeko!GJ464)</f>
        <v>4.8926694845217797</v>
      </c>
      <c r="BK464" s="2021">
        <f>IF(Construction!$F$31=Construction!$R$22,Oeko!DX464,Oeko!GK464)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IF(Construction!$F$31=Construction!$R$22,Oeko!BQ465,Oeko!ED465)</f>
        <v>19.689439087011927</v>
      </c>
      <c r="E465" s="1998">
        <f>IF(Construction!$F$31=Construction!$R$22,Oeko!BR465,Oeko!EE465)</f>
        <v>5.6204991381166742</v>
      </c>
      <c r="F465" s="1998">
        <f>IF(Construction!$F$31=Construction!$R$22,Oeko!BS465,Oeko!EF465)</f>
        <v>5.6836255892111547</v>
      </c>
      <c r="G465" s="1998">
        <f>IF(Construction!$F$31=Construction!$R$22,Oeko!BT465,Oeko!EG465)</f>
        <v>5.7689196136629475</v>
      </c>
      <c r="H465" s="1998">
        <f>IF(Construction!$F$31=Construction!$R$22,Oeko!BU465,Oeko!EH465)</f>
        <v>5.8542136381147403</v>
      </c>
      <c r="I465" s="1979">
        <f>IF(Construction!$F$31=Construction!$R$22,Oeko!BV465,Oeko!EI465)</f>
        <v>53.919739931292916</v>
      </c>
      <c r="J465" s="1979">
        <f>IF(Construction!$F$31=Construction!$R$22,Oeko!BW465,Oeko!EJ465)</f>
        <v>10.026070267567631</v>
      </c>
      <c r="K465" s="1979">
        <f>IF(Construction!$F$31=Construction!$R$22,Oeko!BX465,Oeko!EK465)</f>
        <v>10.123177096932727</v>
      </c>
      <c r="L465" s="1979">
        <f>IF(Construction!$F$31=Construction!$R$22,Oeko!BY465,Oeko!EL465)</f>
        <v>10.269395424564372</v>
      </c>
      <c r="M465" s="1979">
        <f>IF(Construction!$F$31=Construction!$R$22,Oeko!BZ465,Oeko!EM465)</f>
        <v>10.415613752196016</v>
      </c>
      <c r="N465" s="1998">
        <f>IF(Construction!$F$31=Construction!$R$22,Oeko!CA465,Oeko!EN465)</f>
        <v>5.4836309790830811</v>
      </c>
      <c r="O465" s="1998">
        <f>IF(Construction!$F$31=Construction!$R$22,Oeko!CB465,Oeko!EO465)</f>
        <v>5.5671843091583062</v>
      </c>
      <c r="P465" s="1998">
        <f>IF(Construction!$F$31=Construction!$R$22,Oeko!CC465,Oeko!EP465)</f>
        <v>5.575539642165829</v>
      </c>
      <c r="Q465" s="1998">
        <f>IF(Construction!$F$31=Construction!$R$22,Oeko!CD465,Oeko!EQ465)</f>
        <v>5.5838949751733509</v>
      </c>
      <c r="R465" s="1998">
        <f>IF(Construction!$F$31=Construction!$R$22,Oeko!CE465,Oeko!ER465)</f>
        <v>5.5992130856871425</v>
      </c>
      <c r="S465" s="1979">
        <f>IF(Construction!$F$31=Construction!$R$22,Oeko!CF465,Oeko!ES465)</f>
        <v>7.2694856332558109</v>
      </c>
      <c r="T465" s="1979">
        <f>IF(Construction!$F$31=Construction!$R$22,Oeko!CG465,Oeko!ET465)</f>
        <v>7.3791493789795437</v>
      </c>
      <c r="U465" s="1979">
        <f>IF(Construction!$F$31=Construction!$R$22,Oeko!CH465,Oeko!EU465)</f>
        <v>7.3928573471950108</v>
      </c>
      <c r="V465" s="1979">
        <f>IF(Construction!$F$31=Construction!$R$22,Oeko!CI465,Oeko!EV465)</f>
        <v>7.4065653154104769</v>
      </c>
      <c r="W465" s="1979">
        <f>IF(Construction!$F$31=Construction!$R$22,Oeko!CJ465,Oeko!EW465)</f>
        <v>7.431696590472165</v>
      </c>
      <c r="X465" s="1998">
        <f>IF(Construction!$F$31=Construction!$R$22,Oeko!CK465,Oeko!EX465)</f>
        <v>5.4186355373259483</v>
      </c>
      <c r="Y465" s="1998">
        <f>IF(Construction!$F$31=Construction!$R$22,Oeko!CL465,Oeko!EY465)</f>
        <v>5.5063665339049344</v>
      </c>
      <c r="Z465" s="1998">
        <f>IF(Construction!$F$31=Construction!$R$22,Oeko!CM465,Oeko!EZ465)</f>
        <v>5.5209883666680986</v>
      </c>
      <c r="AA465" s="1998">
        <f>IF(Construction!$F$31=Construction!$R$22,Oeko!CN465,Oeko!FA465)</f>
        <v>5.5356101994312628</v>
      </c>
      <c r="AB465" s="1998">
        <f>IF(Construction!$F$31=Construction!$R$22,Oeko!CO465,Oeko!FB465)</f>
        <v>5.5624168928303979</v>
      </c>
      <c r="AC465" s="1979">
        <f>IF(Construction!$F$31=Construction!$R$22,Oeko!CP465,Oeko!FC465)</f>
        <v>4.984945278901221</v>
      </c>
      <c r="AD465" s="1979">
        <f>IF(Construction!$F$31=Construction!$R$22,Oeko!CQ465,Oeko!FD465)</f>
        <v>5.0580544427170429</v>
      </c>
      <c r="AE465" s="1979">
        <f>IF(Construction!$F$31=Construction!$R$22,Oeko!CR465,Oeko!FE465)</f>
        <v>5.0702393033530129</v>
      </c>
      <c r="AF465" s="1979">
        <f>IF(Construction!$F$31=Construction!$R$22,Oeko!CS465,Oeko!FF465)</f>
        <v>5.0824241639889829</v>
      </c>
      <c r="AG465" s="1979">
        <f>IF(Construction!$F$31=Construction!$R$22,Oeko!CT465,Oeko!FG465)</f>
        <v>5.1047630751549287</v>
      </c>
      <c r="AH465" s="1998">
        <f>IF(Construction!$F$31=Construction!$R$22,Oeko!CU465,Oeko!FH465)</f>
        <v>10.372499486599583</v>
      </c>
      <c r="AI465" s="1998">
        <f>IF(Construction!$F$31=Construction!$R$22,Oeko!CV465,Oeko!FI465)</f>
        <v>10.445608650415405</v>
      </c>
      <c r="AJ465" s="1998">
        <f>IF(Construction!$F$31=Construction!$R$22,Oeko!CW465,Oeko!FJ465)</f>
        <v>10.512625383913242</v>
      </c>
      <c r="AK465" s="1998">
        <f>IF(Construction!$F$31=Construction!$R$22,Oeko!CX465,Oeko!FK465)</f>
        <v>10.585734547729064</v>
      </c>
      <c r="AL465" s="1998">
        <f>IF(Construction!$F$31=Construction!$R$22,Oeko!CY465,Oeko!FL465)</f>
        <v>10.762415026950634</v>
      </c>
      <c r="AM465" s="1979">
        <f>IF(Construction!$F$31=Construction!$R$22,Oeko!CZ465,Oeko!FM465)</f>
        <v>16.418519810915374</v>
      </c>
      <c r="AN465" s="1979">
        <f>IF(Construction!$F$31=Construction!$R$22,Oeko!DA465,Oeko!FN465)</f>
        <v>5.8396622132499392</v>
      </c>
      <c r="AO465" s="1979">
        <f>IF(Construction!$F$31=Construction!$R$22,Oeko!DB465,Oeko!FO465)</f>
        <v>5.9148966109455952</v>
      </c>
      <c r="AP465" s="1979">
        <f>IF(Construction!$F$31=Construction!$R$22,Oeko!DC465,Oeko!FP465)</f>
        <v>6.012375496033358</v>
      </c>
      <c r="AQ465" s="1979">
        <f>IF(Construction!$F$31=Construction!$R$22,Oeko!DD465,Oeko!FQ465)</f>
        <v>6.1098543811211217</v>
      </c>
      <c r="AR465" s="1998">
        <f>IF(Construction!$F$31=Construction!$R$22,Oeko!DE465,Oeko!FR465)</f>
        <v>74.065598968949757</v>
      </c>
      <c r="AS465" s="1998">
        <f>IF(Construction!$F$31=Construction!$R$22,Oeko!DF465,Oeko!FS465)</f>
        <v>74.53635529467563</v>
      </c>
      <c r="AT465" s="1998">
        <f>IF(Construction!$F$31=Construction!$R$22,Oeko!DG465,Oeko!FT465)</f>
        <v>74.967881926591019</v>
      </c>
      <c r="AU465" s="1998">
        <f>IF(Construction!$F$31=Construction!$R$22,Oeko!DH465,Oeko!FU465)</f>
        <v>75.438638252316878</v>
      </c>
      <c r="AV465" s="1998">
        <f>IF(Construction!$F$31=Construction!$R$22,Oeko!DI465,Oeko!FV465)</f>
        <v>76.576299372821069</v>
      </c>
      <c r="AW465" s="1979">
        <f>IF(Construction!$F$31=Construction!$R$22,Oeko!DJ465,Oeko!FW465)</f>
        <v>73.555349832954349</v>
      </c>
      <c r="AX465" s="1979">
        <f>IF(Construction!$F$31=Construction!$R$22,Oeko!DK465,Oeko!FX465)</f>
        <v>74.025173075249057</v>
      </c>
      <c r="AY465" s="1979">
        <f>IF(Construction!$F$31=Construction!$R$22,Oeko!DL465,Oeko!FY465)</f>
        <v>74.455844380685875</v>
      </c>
      <c r="AZ465" s="1979">
        <f>IF(Construction!$F$31=Construction!$R$22,Oeko!DM465,Oeko!FZ465)</f>
        <v>74.925667622980598</v>
      </c>
      <c r="BA465" s="1979">
        <f>IF(Construction!$F$31=Construction!$R$22,Oeko!DN465,Oeko!GA465)</f>
        <v>76.061073791859485</v>
      </c>
      <c r="BB465" s="1998">
        <f>IF(Construction!$F$31=Construction!$R$22,Oeko!DO465,Oeko!GB465)</f>
        <v>4.5690862651919444</v>
      </c>
      <c r="BC465" s="1998">
        <f>IF(Construction!$F$31=Construction!$R$22,Oeko!DP465,Oeko!GC465)</f>
        <v>4.655638200029089</v>
      </c>
      <c r="BD465" s="1998">
        <f>IF(Construction!$F$31=Construction!$R$22,Oeko!DQ465,Oeko!GD465)</f>
        <v>4.7421901348662336</v>
      </c>
      <c r="BE465" s="1998">
        <f>IF(Construction!$F$31=Construction!$R$22,Oeko!DR465,Oeko!GE465)</f>
        <v>4.8287420697033783</v>
      </c>
      <c r="BF465" s="1998">
        <f>IF(Construction!$F$31=Construction!$R$22,Oeko!DS465,Oeko!GF465)</f>
        <v>4.9152940045405229</v>
      </c>
      <c r="BG465" s="1979">
        <f>IF(Construction!$F$31=Construction!$R$22,Oeko!DT465,Oeko!GG465)</f>
        <v>4.6248344668460541</v>
      </c>
      <c r="BH465" s="1979">
        <f>IF(Construction!$F$31=Construction!$R$22,Oeko!DU465,Oeko!GH465)</f>
        <v>4.7398120877279633</v>
      </c>
      <c r="BI465" s="1979">
        <f>IF(Construction!$F$31=Construction!$R$22,Oeko!DV465,Oeko!GI465)</f>
        <v>4.8547897086098732</v>
      </c>
      <c r="BJ465" s="1979">
        <f>IF(Construction!$F$31=Construction!$R$22,Oeko!DW465,Oeko!GJ465)</f>
        <v>4.9697673294917841</v>
      </c>
      <c r="BK465" s="2021">
        <f>IF(Construction!$F$31=Construction!$R$22,Oeko!DX465,Oeko!GK465)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IF(Construction!$F$31=Construction!$R$22,Oeko!BQ466,Oeko!ED466)</f>
        <v>23.119454064100566</v>
      </c>
      <c r="E466" s="1998">
        <f>IF(Construction!$F$31=Construction!$R$22,Oeko!BR466,Oeko!EE466)</f>
        <v>5.7950403013354927</v>
      </c>
      <c r="F466" s="1998">
        <f>IF(Construction!$F$31=Construction!$R$22,Oeko!BS466,Oeko!EF466)</f>
        <v>5.8563378148284437</v>
      </c>
      <c r="G466" s="1998">
        <f>IF(Construction!$F$31=Construction!$R$22,Oeko!BT466,Oeko!EG466)</f>
        <v>5.9416318392802365</v>
      </c>
      <c r="H466" s="1998">
        <f>IF(Construction!$F$31=Construction!$R$22,Oeko!BU466,Oeko!EH466)</f>
        <v>6.0269258637320293</v>
      </c>
      <c r="I466" s="1979">
        <f>IF(Construction!$F$31=Construction!$R$22,Oeko!BV466,Oeko!EI466)</f>
        <v>58.159990112942708</v>
      </c>
      <c r="J466" s="1979">
        <f>IF(Construction!$F$31=Construction!$R$22,Oeko!BW466,Oeko!EJ466)</f>
        <v>10.262694268184966</v>
      </c>
      <c r="K466" s="1979">
        <f>IF(Construction!$F$31=Construction!$R$22,Oeko!BX466,Oeko!EK466)</f>
        <v>10.357551845096006</v>
      </c>
      <c r="L466" s="1979">
        <f>IF(Construction!$F$31=Construction!$R$22,Oeko!BY466,Oeko!EL466)</f>
        <v>10.50377017272765</v>
      </c>
      <c r="M466" s="1979">
        <f>IF(Construction!$F$31=Construction!$R$22,Oeko!BZ466,Oeko!EM466)</f>
        <v>10.649988500359296</v>
      </c>
      <c r="N466" s="1998">
        <f>IF(Construction!$F$31=Construction!$R$22,Oeko!CA466,Oeko!EN466)</f>
        <v>5.5964448021754336</v>
      </c>
      <c r="O466" s="1998">
        <f>IF(Construction!$F$31=Construction!$R$22,Oeko!CB466,Oeko!EO466)</f>
        <v>5.6799981322506596</v>
      </c>
      <c r="P466" s="1998">
        <f>IF(Construction!$F$31=Construction!$R$22,Oeko!CC466,Oeko!EP466)</f>
        <v>5.6892818355923511</v>
      </c>
      <c r="Q466" s="1998">
        <f>IF(Construction!$F$31=Construction!$R$22,Oeko!CD466,Oeko!EQ466)</f>
        <v>5.6985655389340426</v>
      </c>
      <c r="R466" s="1998">
        <f>IF(Construction!$F$31=Construction!$R$22,Oeko!CE466,Oeko!ER466)</f>
        <v>5.7155856617271441</v>
      </c>
      <c r="S466" s="1979">
        <f>IF(Construction!$F$31=Construction!$R$22,Oeko!CF466,Oeko!ES466)</f>
        <v>7.1055734147517597</v>
      </c>
      <c r="T466" s="1979">
        <f>IF(Construction!$F$31=Construction!$R$22,Oeko!CG466,Oeko!ET466)</f>
        <v>7.2152371604754926</v>
      </c>
      <c r="U466" s="1979">
        <f>IF(Construction!$F$31=Construction!$R$22,Oeko!CH466,Oeko!EU466)</f>
        <v>7.233514451429448</v>
      </c>
      <c r="V466" s="1979">
        <f>IF(Construction!$F$31=Construction!$R$22,Oeko!CI466,Oeko!EV466)</f>
        <v>7.2517917423834035</v>
      </c>
      <c r="W466" s="1979">
        <f>IF(Construction!$F$31=Construction!$R$22,Oeko!CJ466,Oeko!EW466)</f>
        <v>7.2853001091323222</v>
      </c>
      <c r="X466" s="1998">
        <f>IF(Construction!$F$31=Construction!$R$22,Oeko!CK466,Oeko!EX466)</f>
        <v>5.6105996167739676</v>
      </c>
      <c r="Y466" s="1998">
        <f>IF(Construction!$F$31=Construction!$R$22,Oeko!CL466,Oeko!EY466)</f>
        <v>5.6983306133529537</v>
      </c>
      <c r="Z466" s="1998">
        <f>IF(Construction!$F$31=Construction!$R$22,Oeko!CM466,Oeko!EZ466)</f>
        <v>5.7129524461161179</v>
      </c>
      <c r="AA466" s="1998">
        <f>IF(Construction!$F$31=Construction!$R$22,Oeko!CN466,Oeko!FA466)</f>
        <v>5.7275742788792821</v>
      </c>
      <c r="AB466" s="1998">
        <f>IF(Construction!$F$31=Construction!$R$22,Oeko!CO466,Oeko!FB466)</f>
        <v>5.7543809722784172</v>
      </c>
      <c r="AC466" s="1979">
        <f>IF(Construction!$F$31=Construction!$R$22,Oeko!CP466,Oeko!FC466)</f>
        <v>5.018619554007647</v>
      </c>
      <c r="AD466" s="1979">
        <f>IF(Construction!$F$31=Construction!$R$22,Oeko!CQ466,Oeko!FD466)</f>
        <v>5.0917287178234698</v>
      </c>
      <c r="AE466" s="1979">
        <f>IF(Construction!$F$31=Construction!$R$22,Oeko!CR466,Oeko!FE466)</f>
        <v>5.1063505505866331</v>
      </c>
      <c r="AF466" s="1979">
        <f>IF(Construction!$F$31=Construction!$R$22,Oeko!CS466,Oeko!FF466)</f>
        <v>5.1209723833497973</v>
      </c>
      <c r="AG466" s="1979">
        <f>IF(Construction!$F$31=Construction!$R$22,Oeko!CT466,Oeko!FG466)</f>
        <v>5.1477790767489333</v>
      </c>
      <c r="AH466" s="1998">
        <f>IF(Construction!$F$31=Construction!$R$22,Oeko!CU466,Oeko!FH466)</f>
        <v>9.8779423149540975</v>
      </c>
      <c r="AI466" s="1998">
        <f>IF(Construction!$F$31=Construction!$R$22,Oeko!CV466,Oeko!FI466)</f>
        <v>9.9754212000418594</v>
      </c>
      <c r="AJ466" s="1998">
        <f>IF(Construction!$F$31=Construction!$R$22,Oeko!CW466,Oeko!FJ466)</f>
        <v>10.064776844705644</v>
      </c>
      <c r="AK466" s="1998">
        <f>IF(Construction!$F$31=Construction!$R$22,Oeko!CX466,Oeko!FK466)</f>
        <v>10.162255729793406</v>
      </c>
      <c r="AL466" s="1998">
        <f>IF(Construction!$F$31=Construction!$R$22,Oeko!CY466,Oeko!FL466)</f>
        <v>10.397829702088833</v>
      </c>
      <c r="AM466" s="1979">
        <f>IF(Construction!$F$31=Construction!$R$22,Oeko!CZ466,Oeko!FM466)</f>
        <v>18.572297680959711</v>
      </c>
      <c r="AN466" s="1979">
        <f>IF(Construction!$F$31=Construction!$R$22,Oeko!DA466,Oeko!FN466)</f>
        <v>5.9598521818174754</v>
      </c>
      <c r="AO466" s="1979">
        <f>IF(Construction!$F$31=Construction!$R$22,Oeko!DB466,Oeko!FO466)</f>
        <v>6.0339441020761493</v>
      </c>
      <c r="AP466" s="1979">
        <f>IF(Construction!$F$31=Construction!$R$22,Oeko!DC466,Oeko!FP466)</f>
        <v>6.131422987163913</v>
      </c>
      <c r="AQ466" s="1979">
        <f>IF(Construction!$F$31=Construction!$R$22,Oeko!DD466,Oeko!FQ466)</f>
        <v>6.2289018722516767</v>
      </c>
      <c r="AR466" s="1998">
        <f>IF(Construction!$F$31=Construction!$R$22,Oeko!DE466,Oeko!FR466)</f>
        <v>72.254839041252822</v>
      </c>
      <c r="AS466" s="1998">
        <f>IF(Construction!$F$31=Construction!$R$22,Oeko!DF466,Oeko!FS466)</f>
        <v>72.843284448410159</v>
      </c>
      <c r="AT466" s="1998">
        <f>IF(Construction!$F$31=Construction!$R$22,Oeko!DG466,Oeko!FT466)</f>
        <v>73.382692738304399</v>
      </c>
      <c r="AU466" s="1998">
        <f>IF(Construction!$F$31=Construction!$R$22,Oeko!DH466,Oeko!FU466)</f>
        <v>73.971138145461737</v>
      </c>
      <c r="AV466" s="1998">
        <f>IF(Construction!$F$31=Construction!$R$22,Oeko!DI466,Oeko!FV466)</f>
        <v>75.393214546091954</v>
      </c>
      <c r="AW466" s="1979">
        <f>IF(Construction!$F$31=Construction!$R$22,Oeko!DJ466,Oeko!FW466)</f>
        <v>72.900218436686444</v>
      </c>
      <c r="AX466" s="1979">
        <f>IF(Construction!$F$31=Construction!$R$22,Oeko!DK466,Oeko!FX466)</f>
        <v>73.487497489554826</v>
      </c>
      <c r="AY466" s="1979">
        <f>IF(Construction!$F$31=Construction!$R$22,Oeko!DL466,Oeko!FY466)</f>
        <v>74.025836621350862</v>
      </c>
      <c r="AZ466" s="1979">
        <f>IF(Construction!$F$31=Construction!$R$22,Oeko!DM466,Oeko!FZ466)</f>
        <v>74.613115674219245</v>
      </c>
      <c r="BA466" s="1979">
        <f>IF(Construction!$F$31=Construction!$R$22,Oeko!DN466,Oeko!GA466)</f>
        <v>76.032373385317882</v>
      </c>
      <c r="BB466" s="1998">
        <f>IF(Construction!$F$31=Construction!$R$22,Oeko!DO466,Oeko!GB466)</f>
        <v>4.6456296691185344</v>
      </c>
      <c r="BC466" s="1998">
        <f>IF(Construction!$F$31=Construction!$R$22,Oeko!DP466,Oeko!GC466)</f>
        <v>4.7321816039556799</v>
      </c>
      <c r="BD466" s="1998">
        <f>IF(Construction!$F$31=Construction!$R$22,Oeko!DQ466,Oeko!GD466)</f>
        <v>4.8187335387928236</v>
      </c>
      <c r="BE466" s="1998">
        <f>IF(Construction!$F$31=Construction!$R$22,Oeko!DR466,Oeko!GE466)</f>
        <v>4.9052854736299683</v>
      </c>
      <c r="BF466" s="1998">
        <f>IF(Construction!$F$31=Construction!$R$22,Oeko!DS466,Oeko!GF466)</f>
        <v>4.9918374084671129</v>
      </c>
      <c r="BG466" s="1979">
        <f>IF(Construction!$F$31=Construction!$R$22,Oeko!DT466,Oeko!GG466)</f>
        <v>5.0694139084791336</v>
      </c>
      <c r="BH466" s="1979">
        <f>IF(Construction!$F$31=Construction!$R$22,Oeko!DU466,Oeko!GH466)</f>
        <v>5.1556471241405655</v>
      </c>
      <c r="BI466" s="1979">
        <f>IF(Construction!$F$31=Construction!$R$22,Oeko!DV466,Oeko!GI466)</f>
        <v>5.2418803398019982</v>
      </c>
      <c r="BJ466" s="1979">
        <f>IF(Construction!$F$31=Construction!$R$22,Oeko!DW466,Oeko!GJ466)</f>
        <v>5.32811355546343</v>
      </c>
      <c r="BK466" s="2021">
        <f>IF(Construction!$F$31=Construction!$R$22,Oeko!DX466,Oeko!GK466)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IF(Construction!$F$31=Construction!$R$22,Oeko!BQ467,Oeko!ED467)</f>
        <v>26.849284710598784</v>
      </c>
      <c r="E467" s="1998">
        <f>IF(Construction!$F$31=Construction!$R$22,Oeko!BR467,Oeko!EE467)</f>
        <v>5.986312454496951</v>
      </c>
      <c r="F467" s="1998">
        <f>IF(Construction!$F$31=Construction!$R$22,Oeko!BS467,Oeko!EF467)</f>
        <v>6.0456219923360655</v>
      </c>
      <c r="G467" s="1998">
        <f>IF(Construction!$F$31=Construction!$R$22,Oeko!BT467,Oeko!EG467)</f>
        <v>6.1309160167878582</v>
      </c>
      <c r="H467" s="1998">
        <f>IF(Construction!$F$31=Construction!$R$22,Oeko!BU467,Oeko!EH467)</f>
        <v>6.216210041239651</v>
      </c>
      <c r="I467" s="1979">
        <f>IF(Construction!$F$31=Construction!$R$22,Oeko!BV467,Oeko!EI467)</f>
        <v>60.986823567375893</v>
      </c>
      <c r="J467" s="1979">
        <f>IF(Construction!$F$31=Construction!$R$22,Oeko!BW467,Oeko!EJ467)</f>
        <v>10.420443601929856</v>
      </c>
      <c r="K467" s="1979">
        <f>IF(Construction!$F$31=Construction!$R$22,Oeko!BX467,Oeko!EK467)</f>
        <v>10.51380167720486</v>
      </c>
      <c r="L467" s="1979">
        <f>IF(Construction!$F$31=Construction!$R$22,Oeko!BY467,Oeko!EL467)</f>
        <v>10.660020004836504</v>
      </c>
      <c r="M467" s="1979">
        <f>IF(Construction!$F$31=Construction!$R$22,Oeko!BZ467,Oeko!EM467)</f>
        <v>10.806238332468148</v>
      </c>
      <c r="N467" s="1998">
        <f>IF(Construction!$F$31=Construction!$R$22,Oeko!CA467,Oeko!EN467)</f>
        <v>5.7948572873930244</v>
      </c>
      <c r="O467" s="1998">
        <f>IF(Construction!$F$31=Construction!$R$22,Oeko!CB467,Oeko!EO467)</f>
        <v>5.8784106174682513</v>
      </c>
      <c r="P467" s="1998">
        <f>IF(Construction!$F$31=Construction!$R$22,Oeko!CC467,Oeko!EP467)</f>
        <v>5.8876943208099428</v>
      </c>
      <c r="Q467" s="1998">
        <f>IF(Construction!$F$31=Construction!$R$22,Oeko!CD467,Oeko!EQ467)</f>
        <v>5.8969780241516343</v>
      </c>
      <c r="R467" s="1998">
        <f>IF(Construction!$F$31=Construction!$R$22,Oeko!CE467,Oeko!ER467)</f>
        <v>5.9139981469447358</v>
      </c>
      <c r="S467" s="1979">
        <f>IF(Construction!$F$31=Construction!$R$22,Oeko!CF467,Oeko!ES467)</f>
        <v>7.272983949154102</v>
      </c>
      <c r="T467" s="1979">
        <f>IF(Construction!$F$31=Construction!$R$22,Oeko!CG467,Oeko!ET467)</f>
        <v>7.3826476948778348</v>
      </c>
      <c r="U467" s="1979">
        <f>IF(Construction!$F$31=Construction!$R$22,Oeko!CH467,Oeko!EU467)</f>
        <v>7.4009249858317903</v>
      </c>
      <c r="V467" s="1979">
        <f>IF(Construction!$F$31=Construction!$R$22,Oeko!CI467,Oeko!EV467)</f>
        <v>7.4192022767857466</v>
      </c>
      <c r="W467" s="1979">
        <f>IF(Construction!$F$31=Construction!$R$22,Oeko!CJ467,Oeko!EW467)</f>
        <v>7.4527106435346644</v>
      </c>
      <c r="X467" s="1998">
        <f>IF(Construction!$F$31=Construction!$R$22,Oeko!CK467,Oeko!EX467)</f>
        <v>5.7819961162811264</v>
      </c>
      <c r="Y467" s="1998">
        <f>IF(Construction!$F$31=Construction!$R$22,Oeko!CL467,Oeko!EY467)</f>
        <v>5.8697271128601143</v>
      </c>
      <c r="Z467" s="1998">
        <f>IF(Construction!$F$31=Construction!$R$22,Oeko!CM467,Oeko!EZ467)</f>
        <v>5.8843489456232794</v>
      </c>
      <c r="AA467" s="1998">
        <f>IF(Construction!$F$31=Construction!$R$22,Oeko!CN467,Oeko!FA467)</f>
        <v>5.8989707783864436</v>
      </c>
      <c r="AB467" s="1998">
        <f>IF(Construction!$F$31=Construction!$R$22,Oeko!CO467,Oeko!FB467)</f>
        <v>5.9257774717855778</v>
      </c>
      <c r="AC467" s="1979">
        <f>IF(Construction!$F$31=Construction!$R$22,Oeko!CP467,Oeko!FC467)</f>
        <v>5.0102769680749901</v>
      </c>
      <c r="AD467" s="1979">
        <f>IF(Construction!$F$31=Construction!$R$22,Oeko!CQ467,Oeko!FD467)</f>
        <v>5.083386131890812</v>
      </c>
      <c r="AE467" s="1979">
        <f>IF(Construction!$F$31=Construction!$R$22,Oeko!CR467,Oeko!FE467)</f>
        <v>5.1016634228447684</v>
      </c>
      <c r="AF467" s="1979">
        <f>IF(Construction!$F$31=Construction!$R$22,Oeko!CS467,Oeko!FF467)</f>
        <v>5.119940713798723</v>
      </c>
      <c r="AG467" s="1979">
        <f>IF(Construction!$F$31=Construction!$R$22,Oeko!CT467,Oeko!FG467)</f>
        <v>5.1534490805476416</v>
      </c>
      <c r="AH467" s="1998">
        <f>IF(Construction!$F$31=Construction!$R$22,Oeko!CU467,Oeko!FH467)</f>
        <v>10.05651355164993</v>
      </c>
      <c r="AI467" s="1998">
        <f>IF(Construction!$F$31=Construction!$R$22,Oeko!CV467,Oeko!FI467)</f>
        <v>10.153992436737694</v>
      </c>
      <c r="AJ467" s="1998">
        <f>IF(Construction!$F$31=Construction!$R$22,Oeko!CW467,Oeko!FJ467)</f>
        <v>10.243348081401475</v>
      </c>
      <c r="AK467" s="1998">
        <f>IF(Construction!$F$31=Construction!$R$22,Oeko!CX467,Oeko!FK467)</f>
        <v>10.340826966489239</v>
      </c>
      <c r="AL467" s="1998">
        <f>IF(Construction!$F$31=Construction!$R$22,Oeko!CY467,Oeko!FL467)</f>
        <v>10.576400938784666</v>
      </c>
      <c r="AM467" s="1979">
        <f>IF(Construction!$F$31=Construction!$R$22,Oeko!CZ467,Oeko!FM467)</f>
        <v>16.279927435225197</v>
      </c>
      <c r="AN467" s="1979">
        <f>IF(Construction!$F$31=Construction!$R$22,Oeko!DA467,Oeko!FN467)</f>
        <v>5.7010698375597642</v>
      </c>
      <c r="AO467" s="1979">
        <f>IF(Construction!$F$31=Construction!$R$22,Oeko!DB467,Oeko!FO467)</f>
        <v>5.7763042352554184</v>
      </c>
      <c r="AP467" s="1979">
        <f>IF(Construction!$F$31=Construction!$R$22,Oeko!DC467,Oeko!FP467)</f>
        <v>5.8737831203431812</v>
      </c>
      <c r="AQ467" s="1979">
        <f>IF(Construction!$F$31=Construction!$R$22,Oeko!DD467,Oeko!FQ467)</f>
        <v>5.971262005430944</v>
      </c>
      <c r="AR467" s="1998">
        <f>IF(Construction!$F$31=Construction!$R$22,Oeko!DE467,Oeko!FR467)</f>
        <v>74.235610995924205</v>
      </c>
      <c r="AS467" s="1998">
        <f>IF(Construction!$F$31=Construction!$R$22,Oeko!DF467,Oeko!FS467)</f>
        <v>74.824056403081556</v>
      </c>
      <c r="AT467" s="1998">
        <f>IF(Construction!$F$31=Construction!$R$22,Oeko!DG467,Oeko!FT467)</f>
        <v>75.363464692975782</v>
      </c>
      <c r="AU467" s="1998">
        <f>IF(Construction!$F$31=Construction!$R$22,Oeko!DH467,Oeko!FU467)</f>
        <v>75.951910100133105</v>
      </c>
      <c r="AV467" s="1998">
        <f>IF(Construction!$F$31=Construction!$R$22,Oeko!DI467,Oeko!FV467)</f>
        <v>77.373986500763351</v>
      </c>
      <c r="AW467" s="1979">
        <f>IF(Construction!$F$31=Construction!$R$22,Oeko!DJ467,Oeko!FW467)</f>
        <v>69.871830691800568</v>
      </c>
      <c r="AX467" s="1979">
        <f>IF(Construction!$F$31=Construction!$R$22,Oeko!DK467,Oeko!FX467)</f>
        <v>70.65486942895842</v>
      </c>
      <c r="AY467" s="1979">
        <f>IF(Construction!$F$31=Construction!$R$22,Oeko!DL467,Oeko!FY467)</f>
        <v>71.372654938019778</v>
      </c>
      <c r="AZ467" s="1979">
        <f>IF(Construction!$F$31=Construction!$R$22,Oeko!DM467,Oeko!FZ467)</f>
        <v>72.155693675177645</v>
      </c>
      <c r="BA467" s="1979">
        <f>IF(Construction!$F$31=Construction!$R$22,Oeko!DN467,Oeko!GA467)</f>
        <v>74.048037289975795</v>
      </c>
      <c r="BB467" s="1998">
        <f>IF(Construction!$F$31=Construction!$R$22,Oeko!DO467,Oeko!GB467)</f>
        <v>4.6364605339687799</v>
      </c>
      <c r="BC467" s="1998">
        <f>IF(Construction!$F$31=Construction!$R$22,Oeko!DP467,Oeko!GC467)</f>
        <v>4.7518631137516394</v>
      </c>
      <c r="BD467" s="1998">
        <f>IF(Construction!$F$31=Construction!$R$22,Oeko!DQ467,Oeko!GD467)</f>
        <v>4.8672656935344989</v>
      </c>
      <c r="BE467" s="1998">
        <f>IF(Construction!$F$31=Construction!$R$22,Oeko!DR467,Oeko!GE467)</f>
        <v>4.9826682733173593</v>
      </c>
      <c r="BF467" s="1998">
        <f>IF(Construction!$F$31=Construction!$R$22,Oeko!DS467,Oeko!GF467)</f>
        <v>5.0980708531002188</v>
      </c>
      <c r="BG467" s="1979">
        <f>IF(Construction!$F$31=Construction!$R$22,Oeko!DT467,Oeko!GG467)</f>
        <v>5.5968952875692288</v>
      </c>
      <c r="BH467" s="1979">
        <f>IF(Construction!$F$31=Construction!$R$22,Oeko!DU467,Oeko!GH467)</f>
        <v>5.6831285032306615</v>
      </c>
      <c r="BI467" s="1979">
        <f>IF(Construction!$F$31=Construction!$R$22,Oeko!DV467,Oeko!GI467)</f>
        <v>5.7693617188920934</v>
      </c>
      <c r="BJ467" s="1979">
        <f>IF(Construction!$F$31=Construction!$R$22,Oeko!DW467,Oeko!GJ467)</f>
        <v>5.8555949345535261</v>
      </c>
      <c r="BK467" s="2021">
        <f>IF(Construction!$F$31=Construction!$R$22,Oeko!DX467,Oeko!GK467)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IF(Construction!$F$31=Construction!$R$22,Oeko!BQ468,Oeko!ED468)</f>
        <v>25.453383580765781</v>
      </c>
      <c r="E468" s="1998">
        <f>IF(Construction!$F$31=Construction!$R$22,Oeko!BR468,Oeko!EE468)</f>
        <v>5.787455112124154</v>
      </c>
      <c r="F468" s="1998">
        <f>IF(Construction!$F$31=Construction!$R$22,Oeko!BS468,Oeko!EF468)</f>
        <v>5.8474371537273093</v>
      </c>
      <c r="G468" s="1998">
        <f>IF(Construction!$F$31=Construction!$R$22,Oeko!BT468,Oeko!EG468)</f>
        <v>5.9327311781791012</v>
      </c>
      <c r="H468" s="1998">
        <f>IF(Construction!$F$31=Construction!$R$22,Oeko!BU468,Oeko!EH468)</f>
        <v>6.0180252026308949</v>
      </c>
      <c r="I468" s="1979">
        <f>IF(Construction!$F$31=Construction!$R$22,Oeko!BV468,Oeko!EI468)</f>
        <v>52.660014354687711</v>
      </c>
      <c r="J468" s="1979">
        <f>IF(Construction!$F$31=Construction!$R$22,Oeko!BW468,Oeko!EJ468)</f>
        <v>9.6695196206902789</v>
      </c>
      <c r="K468" s="1979">
        <f>IF(Construction!$F$31=Construction!$R$22,Oeko!BX468,Oeko!EK468)</f>
        <v>9.7671338571746418</v>
      </c>
      <c r="L468" s="1979">
        <f>IF(Construction!$F$31=Construction!$R$22,Oeko!BY468,Oeko!EL468)</f>
        <v>9.9133521848062855</v>
      </c>
      <c r="M468" s="1979">
        <f>IF(Construction!$F$31=Construction!$R$22,Oeko!BZ468,Oeko!EM468)</f>
        <v>10.059570512437931</v>
      </c>
      <c r="N468" s="1998">
        <f>IF(Construction!$F$31=Construction!$R$22,Oeko!CA468,Oeko!EN468)</f>
        <v>5.7932655925083241</v>
      </c>
      <c r="O468" s="1998">
        <f>IF(Construction!$F$31=Construction!$R$22,Oeko!CB468,Oeko!EO468)</f>
        <v>5.8768189225835501</v>
      </c>
      <c r="P468" s="1998">
        <f>IF(Construction!$F$31=Construction!$R$22,Oeko!CC468,Oeko!EP468)</f>
        <v>5.8872630888429525</v>
      </c>
      <c r="Q468" s="1998">
        <f>IF(Construction!$F$31=Construction!$R$22,Oeko!CD468,Oeko!EQ468)</f>
        <v>5.8977072551023557</v>
      </c>
      <c r="R468" s="1998">
        <f>IF(Construction!$F$31=Construction!$R$22,Oeko!CE468,Oeko!ER468)</f>
        <v>5.9168548932445955</v>
      </c>
      <c r="S468" s="1979">
        <f>IF(Construction!$F$31=Construction!$R$22,Oeko!CF468,Oeko!ES468)</f>
        <v>7.3048004278358079</v>
      </c>
      <c r="T468" s="1979">
        <f>IF(Construction!$F$31=Construction!$R$22,Oeko!CG468,Oeko!ET468)</f>
        <v>7.4144641735595425</v>
      </c>
      <c r="U468" s="1979">
        <f>IF(Construction!$F$31=Construction!$R$22,Oeko!CH468,Oeko!EU468)</f>
        <v>7.4363969227042892</v>
      </c>
      <c r="V468" s="1979">
        <f>IF(Construction!$F$31=Construction!$R$22,Oeko!CI468,Oeko!EV468)</f>
        <v>7.4583296718490342</v>
      </c>
      <c r="W468" s="1979">
        <f>IF(Construction!$F$31=Construction!$R$22,Oeko!CJ468,Oeko!EW468)</f>
        <v>7.4985397119477382</v>
      </c>
      <c r="X468" s="1998">
        <f>IF(Construction!$F$31=Construction!$R$22,Oeko!CK468,Oeko!EX468)</f>
        <v>5.6697453655573353</v>
      </c>
      <c r="Y468" s="1998">
        <f>IF(Construction!$F$31=Construction!$R$22,Oeko!CL468,Oeko!EY468)</f>
        <v>5.7574763621363214</v>
      </c>
      <c r="Z468" s="1998">
        <f>IF(Construction!$F$31=Construction!$R$22,Oeko!CM468,Oeko!EZ468)</f>
        <v>5.7750225614521185</v>
      </c>
      <c r="AA468" s="1998">
        <f>IF(Construction!$F$31=Construction!$R$22,Oeko!CN468,Oeko!FA468)</f>
        <v>5.7925687607679173</v>
      </c>
      <c r="AB468" s="1998">
        <f>IF(Construction!$F$31=Construction!$R$22,Oeko!CO468,Oeko!FB468)</f>
        <v>5.8247367928468785</v>
      </c>
      <c r="AC468" s="1979">
        <f>IF(Construction!$F$31=Construction!$R$22,Oeko!CP468,Oeko!FC468)</f>
        <v>5.0858866285002282</v>
      </c>
      <c r="AD468" s="1979">
        <f>IF(Construction!$F$31=Construction!$R$22,Oeko!CQ468,Oeko!FD468)</f>
        <v>5.1589957923160501</v>
      </c>
      <c r="AE468" s="1979">
        <f>IF(Construction!$F$31=Construction!$R$22,Oeko!CR468,Oeko!FE468)</f>
        <v>5.1833655135879919</v>
      </c>
      <c r="AF468" s="1979">
        <f>IF(Construction!$F$31=Construction!$R$22,Oeko!CS468,Oeko!FF468)</f>
        <v>5.2077352348599319</v>
      </c>
      <c r="AG468" s="1979">
        <f>IF(Construction!$F$31=Construction!$R$22,Oeko!CT468,Oeko!FG468)</f>
        <v>5.2524130571918226</v>
      </c>
      <c r="AH468" s="1998">
        <f>IF(Construction!$F$31=Construction!$R$22,Oeko!CU468,Oeko!FH468)</f>
        <v>10.29460853391104</v>
      </c>
      <c r="AI468" s="1998">
        <f>IF(Construction!$F$31=Construction!$R$22,Oeko!CV468,Oeko!FI468)</f>
        <v>10.392087418998802</v>
      </c>
      <c r="AJ468" s="1998">
        <f>IF(Construction!$F$31=Construction!$R$22,Oeko!CW468,Oeko!FJ468)</f>
        <v>10.481443063662585</v>
      </c>
      <c r="AK468" s="1998">
        <f>IF(Construction!$F$31=Construction!$R$22,Oeko!CX468,Oeko!FK468)</f>
        <v>10.578921948750347</v>
      </c>
      <c r="AL468" s="1998">
        <f>IF(Construction!$F$31=Construction!$R$22,Oeko!CY468,Oeko!FL468)</f>
        <v>10.814495921045774</v>
      </c>
      <c r="AM468" s="1979">
        <f>IF(Construction!$F$31=Construction!$R$22,Oeko!CZ468,Oeko!FM468)</f>
        <v>14.274103470207503</v>
      </c>
      <c r="AN468" s="1979">
        <f>IF(Construction!$F$31=Construction!$R$22,Oeko!DA468,Oeko!FN468)</f>
        <v>5.4746352863342649</v>
      </c>
      <c r="AO468" s="1979">
        <f>IF(Construction!$F$31=Construction!$R$22,Oeko!DB468,Oeko!FO468)</f>
        <v>5.550869351787278</v>
      </c>
      <c r="AP468" s="1979">
        <f>IF(Construction!$F$31=Construction!$R$22,Oeko!DC468,Oeko!FP468)</f>
        <v>5.6483482368750417</v>
      </c>
      <c r="AQ468" s="1979">
        <f>IF(Construction!$F$31=Construction!$R$22,Oeko!DD468,Oeko!FQ468)</f>
        <v>5.7458271219628045</v>
      </c>
      <c r="AR468" s="1998">
        <f>IF(Construction!$F$31=Construction!$R$22,Oeko!DE468,Oeko!FR468)</f>
        <v>70.997592010354751</v>
      </c>
      <c r="AS468" s="1998">
        <f>IF(Construction!$F$31=Construction!$R$22,Oeko!DF468,Oeko!FS468)</f>
        <v>71.782185886564534</v>
      </c>
      <c r="AT468" s="1998">
        <f>IF(Construction!$F$31=Construction!$R$22,Oeko!DG468,Oeko!FT468)</f>
        <v>72.50139693975683</v>
      </c>
      <c r="AU468" s="1998">
        <f>IF(Construction!$F$31=Construction!$R$22,Oeko!DH468,Oeko!FU468)</f>
        <v>73.285990815966628</v>
      </c>
      <c r="AV468" s="1998">
        <f>IF(Construction!$F$31=Construction!$R$22,Oeko!DI468,Oeko!FV468)</f>
        <v>75.182092683473613</v>
      </c>
      <c r="AW468" s="1979">
        <f>IF(Construction!$F$31=Construction!$R$22,Oeko!DJ468,Oeko!FW468)</f>
        <v>72.233833935643489</v>
      </c>
      <c r="AX468" s="1979">
        <f>IF(Construction!$F$31=Construction!$R$22,Oeko!DK468,Oeko!FX468)</f>
        <v>73.016872672801355</v>
      </c>
      <c r="AY468" s="1979">
        <f>IF(Construction!$F$31=Construction!$R$22,Oeko!DL468,Oeko!FY468)</f>
        <v>73.734658181862727</v>
      </c>
      <c r="AZ468" s="1979">
        <f>IF(Construction!$F$31=Construction!$R$22,Oeko!DM468,Oeko!FZ468)</f>
        <v>74.517696919020594</v>
      </c>
      <c r="BA468" s="1979">
        <f>IF(Construction!$F$31=Construction!$R$22,Oeko!DN468,Oeko!GA468)</f>
        <v>76.41004053381873</v>
      </c>
      <c r="BB468" s="1998">
        <f>IF(Construction!$F$31=Construction!$R$22,Oeko!DO468,Oeko!GB468)</f>
        <v>4.7958134917360207</v>
      </c>
      <c r="BC468" s="1998">
        <f>IF(Construction!$F$31=Construction!$R$22,Oeko!DP468,Oeko!GC468)</f>
        <v>4.9112160715188802</v>
      </c>
      <c r="BD468" s="1998">
        <f>IF(Construction!$F$31=Construction!$R$22,Oeko!DQ468,Oeko!GD468)</f>
        <v>5.0266186513017397</v>
      </c>
      <c r="BE468" s="1998">
        <f>IF(Construction!$F$31=Construction!$R$22,Oeko!DR468,Oeko!GE468)</f>
        <v>5.1420212310845992</v>
      </c>
      <c r="BF468" s="1998">
        <f>IF(Construction!$F$31=Construction!$R$22,Oeko!DS468,Oeko!GF468)</f>
        <v>5.2574238108674587</v>
      </c>
      <c r="BG468" s="1979">
        <f>IF(Construction!$F$31=Construction!$R$22,Oeko!DT468,Oeko!GG468)</f>
        <v>5.9114741409081031</v>
      </c>
      <c r="BH468" s="1979">
        <f>IF(Construction!$F$31=Construction!$R$22,Oeko!DU468,Oeko!GH468)</f>
        <v>5.9977073565695367</v>
      </c>
      <c r="BI468" s="1979">
        <f>IF(Construction!$F$31=Construction!$R$22,Oeko!DV468,Oeko!GI468)</f>
        <v>6.0839405722309685</v>
      </c>
      <c r="BJ468" s="1979">
        <f>IF(Construction!$F$31=Construction!$R$22,Oeko!DW468,Oeko!GJ468)</f>
        <v>6.1701737878924012</v>
      </c>
      <c r="BK468" s="2021">
        <f>IF(Construction!$F$31=Construction!$R$22,Oeko!DX468,Oeko!GK468)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IF(Construction!$F$31=Construction!$R$22,Oeko!BQ469,Oeko!ED469)</f>
        <v>26.025466211004211</v>
      </c>
      <c r="E469" s="1998">
        <f>IF(Construction!$F$31=Construction!$R$22,Oeko!BR469,Oeko!EE469)</f>
        <v>5.8025114910885058</v>
      </c>
      <c r="F469" s="1998">
        <f>IF(Construction!$F$31=Construction!$R$22,Oeko!BS469,Oeko!EF469)</f>
        <v>5.862180593219791</v>
      </c>
      <c r="G469" s="1998">
        <f>IF(Construction!$F$31=Construction!$R$22,Oeko!BT469,Oeko!EG469)</f>
        <v>5.9474746176715847</v>
      </c>
      <c r="H469" s="1998">
        <f>IF(Construction!$F$31=Construction!$R$22,Oeko!BU469,Oeko!EH469)</f>
        <v>6.0327686421233775</v>
      </c>
      <c r="I469" s="1979">
        <f>IF(Construction!$F$31=Construction!$R$22,Oeko!BV469,Oeko!EI469)</f>
        <v>57.856819291120452</v>
      </c>
      <c r="J469" s="1979">
        <f>IF(Construction!$F$31=Construction!$R$22,Oeko!BW469,Oeko!EJ469)</f>
        <v>9.959523446362704</v>
      </c>
      <c r="K469" s="1979">
        <f>IF(Construction!$F$31=Construction!$R$22,Oeko!BX469,Oeko!EK469)</f>
        <v>10.054381023273745</v>
      </c>
      <c r="L469" s="1979">
        <f>IF(Construction!$F$31=Construction!$R$22,Oeko!BY469,Oeko!EL469)</f>
        <v>10.200599350905387</v>
      </c>
      <c r="M469" s="1979">
        <f>IF(Construction!$F$31=Construction!$R$22,Oeko!BZ469,Oeko!EM469)</f>
        <v>10.346817678537034</v>
      </c>
      <c r="N469" s="1998">
        <f>IF(Construction!$F$31=Construction!$R$22,Oeko!CA469,Oeko!EN469)</f>
        <v>5.8012455961896361</v>
      </c>
      <c r="O469" s="1998">
        <f>IF(Construction!$F$31=Construction!$R$22,Oeko!CB469,Oeko!EO469)</f>
        <v>5.8847989262648621</v>
      </c>
      <c r="P469" s="1998">
        <f>IF(Construction!$F$31=Construction!$R$22,Oeko!CC469,Oeko!EP469)</f>
        <v>5.8987244812773998</v>
      </c>
      <c r="Q469" s="1998">
        <f>IF(Construction!$F$31=Construction!$R$22,Oeko!CD469,Oeko!EQ469)</f>
        <v>5.9126500362899366</v>
      </c>
      <c r="R469" s="1998">
        <f>IF(Construction!$F$31=Construction!$R$22,Oeko!CE469,Oeko!ER469)</f>
        <v>5.9381802204795893</v>
      </c>
      <c r="S469" s="1979">
        <f>IF(Construction!$F$31=Construction!$R$22,Oeko!CF469,Oeko!ES469)</f>
        <v>7.1920900503894556</v>
      </c>
      <c r="T469" s="1979">
        <f>IF(Construction!$F$31=Construction!$R$22,Oeko!CG469,Oeko!ET469)</f>
        <v>7.3017537961131875</v>
      </c>
      <c r="U469" s="1979">
        <f>IF(Construction!$F$31=Construction!$R$22,Oeko!CH469,Oeko!EU469)</f>
        <v>7.3291697325441216</v>
      </c>
      <c r="V469" s="1979">
        <f>IF(Construction!$F$31=Construction!$R$22,Oeko!CI469,Oeko!EV469)</f>
        <v>7.3565856689750548</v>
      </c>
      <c r="W469" s="1979">
        <f>IF(Construction!$F$31=Construction!$R$22,Oeko!CJ469,Oeko!EW469)</f>
        <v>7.4068482190984319</v>
      </c>
      <c r="X469" s="1998">
        <f>IF(Construction!$F$31=Construction!$R$22,Oeko!CK469,Oeko!EX469)</f>
        <v>5.6926477329216363</v>
      </c>
      <c r="Y469" s="1998">
        <f>IF(Construction!$F$31=Construction!$R$22,Oeko!CL469,Oeko!EY469)</f>
        <v>5.7803787295006233</v>
      </c>
      <c r="Z469" s="1998">
        <f>IF(Construction!$F$31=Construction!$R$22,Oeko!CM469,Oeko!EZ469)</f>
        <v>5.8023114786453691</v>
      </c>
      <c r="AA469" s="1998">
        <f>IF(Construction!$F$31=Construction!$R$22,Oeko!CN469,Oeko!FA469)</f>
        <v>5.8242442277901167</v>
      </c>
      <c r="AB469" s="1998">
        <f>IF(Construction!$F$31=Construction!$R$22,Oeko!CO469,Oeko!FB469)</f>
        <v>5.864454267888819</v>
      </c>
      <c r="AC469" s="1979">
        <f>IF(Construction!$F$31=Construction!$R$22,Oeko!CP469,Oeko!FC469)</f>
        <v>5.3156657933661879</v>
      </c>
      <c r="AD469" s="1979">
        <f>IF(Construction!$F$31=Construction!$R$22,Oeko!CQ469,Oeko!FD469)</f>
        <v>5.3887749571820098</v>
      </c>
      <c r="AE469" s="1979">
        <f>IF(Construction!$F$31=Construction!$R$22,Oeko!CR469,Oeko!FE469)</f>
        <v>5.4131446784539516</v>
      </c>
      <c r="AF469" s="1979">
        <f>IF(Construction!$F$31=Construction!$R$22,Oeko!CS469,Oeko!FF469)</f>
        <v>5.4375143997258917</v>
      </c>
      <c r="AG469" s="1979">
        <f>IF(Construction!$F$31=Construction!$R$22,Oeko!CT469,Oeko!FG469)</f>
        <v>5.4821922220577832</v>
      </c>
      <c r="AH469" s="1998">
        <f>IF(Construction!$F$31=Construction!$R$22,Oeko!CU469,Oeko!FH469)</f>
        <v>10.546382886271003</v>
      </c>
      <c r="AI469" s="1998">
        <f>IF(Construction!$F$31=Construction!$R$22,Oeko!CV469,Oeko!FI469)</f>
        <v>10.643861771358766</v>
      </c>
      <c r="AJ469" s="1998">
        <f>IF(Construction!$F$31=Construction!$R$22,Oeko!CW469,Oeko!FJ469)</f>
        <v>10.733217416022546</v>
      </c>
      <c r="AK469" s="1998">
        <f>IF(Construction!$F$31=Construction!$R$22,Oeko!CX469,Oeko!FK469)</f>
        <v>10.83069630111031</v>
      </c>
      <c r="AL469" s="1998">
        <f>IF(Construction!$F$31=Construction!$R$22,Oeko!CY469,Oeko!FL469)</f>
        <v>11.066270273405738</v>
      </c>
      <c r="AM469" s="1979">
        <f>IF(Construction!$F$31=Construction!$R$22,Oeko!CZ469,Oeko!FM469)</f>
        <v>17.572075833712891</v>
      </c>
      <c r="AN469" s="1979">
        <f>IF(Construction!$F$31=Construction!$R$22,Oeko!DA469,Oeko!FN469)</f>
        <v>5.6586761757033024</v>
      </c>
      <c r="AO469" s="1979">
        <f>IF(Construction!$F$31=Construction!$R$22,Oeko!DB469,Oeko!FO469)</f>
        <v>5.7331608225809401</v>
      </c>
      <c r="AP469" s="1979">
        <f>IF(Construction!$F$31=Construction!$R$22,Oeko!DC469,Oeko!FP469)</f>
        <v>5.8306397076687029</v>
      </c>
      <c r="AQ469" s="1979">
        <f>IF(Construction!$F$31=Construction!$R$22,Oeko!DD469,Oeko!FQ469)</f>
        <v>5.9281185927564666</v>
      </c>
      <c r="AR469" s="1998">
        <f>IF(Construction!$F$31=Construction!$R$22,Oeko!DE469,Oeko!FR469)</f>
        <v>76.2796505561451</v>
      </c>
      <c r="AS469" s="1998">
        <f>IF(Construction!$F$31=Construction!$R$22,Oeko!DF469,Oeko!FS469)</f>
        <v>77.064244432354897</v>
      </c>
      <c r="AT469" s="1998">
        <f>IF(Construction!$F$31=Construction!$R$22,Oeko!DG469,Oeko!FT469)</f>
        <v>77.783455485547208</v>
      </c>
      <c r="AU469" s="1998">
        <f>IF(Construction!$F$31=Construction!$R$22,Oeko!DH469,Oeko!FU469)</f>
        <v>78.568049361756991</v>
      </c>
      <c r="AV469" s="1998">
        <f>IF(Construction!$F$31=Construction!$R$22,Oeko!DI469,Oeko!FV469)</f>
        <v>80.464151229263976</v>
      </c>
      <c r="AW469" s="1979">
        <f>IF(Construction!$F$31=Construction!$R$22,Oeko!DJ469,Oeko!FW469)</f>
        <v>61.883385754727939</v>
      </c>
      <c r="AX469" s="1979">
        <f>IF(Construction!$F$31=Construction!$R$22,Oeko!DK469,Oeko!FX469)</f>
        <v>63.057943860464732</v>
      </c>
      <c r="AY469" s="1979">
        <f>IF(Construction!$F$31=Construction!$R$22,Oeko!DL469,Oeko!FY469)</f>
        <v>64.13462212405679</v>
      </c>
      <c r="AZ469" s="1979">
        <f>IF(Construction!$F$31=Construction!$R$22,Oeko!DM469,Oeko!FZ469)</f>
        <v>65.309180229793569</v>
      </c>
      <c r="BA469" s="1979">
        <f>IF(Construction!$F$31=Construction!$R$22,Oeko!DN469,Oeko!GA469)</f>
        <v>68.147695651990816</v>
      </c>
      <c r="BB469" s="1998">
        <f>IF(Construction!$F$31=Construction!$R$22,Oeko!DO469,Oeko!GB469)</f>
        <v>5.2738723650377413</v>
      </c>
      <c r="BC469" s="1998">
        <f>IF(Construction!$F$31=Construction!$R$22,Oeko!DP469,Oeko!GC469)</f>
        <v>5.3892749448206008</v>
      </c>
      <c r="BD469" s="1998">
        <f>IF(Construction!$F$31=Construction!$R$22,Oeko!DQ469,Oeko!GD469)</f>
        <v>5.5046775246034603</v>
      </c>
      <c r="BE469" s="1998">
        <f>IF(Construction!$F$31=Construction!$R$22,Oeko!DR469,Oeko!GE469)</f>
        <v>5.6200801043863198</v>
      </c>
      <c r="BF469" s="1998">
        <f>IF(Construction!$F$31=Construction!$R$22,Oeko!DS469,Oeko!GF469)</f>
        <v>5.7354826841691793</v>
      </c>
      <c r="BG469" s="1979">
        <f>IF(Construction!$F$31=Construction!$R$22,Oeko!DT469,Oeko!GG469)</f>
        <v>6.0167310805217209</v>
      </c>
      <c r="BH469" s="1979">
        <f>IF(Construction!$F$31=Construction!$R$22,Oeko!DU469,Oeko!GH469)</f>
        <v>6.1317087014036318</v>
      </c>
      <c r="BI469" s="1979">
        <f>IF(Construction!$F$31=Construction!$R$22,Oeko!DV469,Oeko!GI469)</f>
        <v>6.2466863222855418</v>
      </c>
      <c r="BJ469" s="1979">
        <f>IF(Construction!$F$31=Construction!$R$22,Oeko!DW469,Oeko!GJ469)</f>
        <v>6.3616639431674509</v>
      </c>
      <c r="BK469" s="2021">
        <f>IF(Construction!$F$31=Construction!$R$22,Oeko!DX469,Oeko!GK469)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IF(Construction!$F$31=Construction!$R$22,Oeko!BQ470,Oeko!ED470)</f>
        <v>29.233878302007504</v>
      </c>
      <c r="E470" s="1998">
        <f>IF(Construction!$F$31=Construction!$R$22,Oeko!BR470,Oeko!EE470)</f>
        <v>5.9646862704366761</v>
      </c>
      <c r="F470" s="1998">
        <f>IF(Construction!$F$31=Construction!$R$22,Oeko!BS470,Oeko!EF470)</f>
        <v>6.0226439848311832</v>
      </c>
      <c r="G470" s="1998">
        <f>IF(Construction!$F$31=Construction!$R$22,Oeko!BT470,Oeko!EG470)</f>
        <v>6.1079380092829743</v>
      </c>
      <c r="H470" s="1998">
        <f>IF(Construction!$F$31=Construction!$R$22,Oeko!BU470,Oeko!EH470)</f>
        <v>6.1932320337347671</v>
      </c>
      <c r="I470" s="1979">
        <f>IF(Construction!$F$31=Construction!$R$22,Oeko!BV470,Oeko!EI470)</f>
        <v>55.800940415169052</v>
      </c>
      <c r="J470" s="1979">
        <f>IF(Construction!$F$31=Construction!$R$22,Oeko!BW470,Oeko!EJ470)</f>
        <v>9.8447966581846007</v>
      </c>
      <c r="K470" s="1979">
        <f>IF(Construction!$F$31=Construction!$R$22,Oeko!BX470,Oeko!EK470)</f>
        <v>9.9407447817400332</v>
      </c>
      <c r="L470" s="1979">
        <f>IF(Construction!$F$31=Construction!$R$22,Oeko!BY470,Oeko!EL470)</f>
        <v>10.086963109371677</v>
      </c>
      <c r="M470" s="1979">
        <f>IF(Construction!$F$31=Construction!$R$22,Oeko!BZ470,Oeko!EM470)</f>
        <v>10.233181437003321</v>
      </c>
      <c r="N470" s="1998">
        <f>IF(Construction!$F$31=Construction!$R$22,Oeko!CA470,Oeko!EN470)</f>
        <v>5.7846704401309363</v>
      </c>
      <c r="O470" s="1998">
        <f>IF(Construction!$F$31=Construction!$R$22,Oeko!CB470,Oeko!EO470)</f>
        <v>5.8682237702061615</v>
      </c>
      <c r="P470" s="1998">
        <f>IF(Construction!$F$31=Construction!$R$22,Oeko!CC470,Oeko!EP470)</f>
        <v>5.884934436221207</v>
      </c>
      <c r="Q470" s="1998">
        <f>IF(Construction!$F$31=Construction!$R$22,Oeko!CD470,Oeko!EQ470)</f>
        <v>5.9016451022362526</v>
      </c>
      <c r="R470" s="1998">
        <f>IF(Construction!$F$31=Construction!$R$22,Oeko!CE470,Oeko!ER470)</f>
        <v>5.9322813232638349</v>
      </c>
      <c r="S470" s="1979">
        <f>IF(Construction!$F$31=Construction!$R$22,Oeko!CF470,Oeko!ES470)</f>
        <v>7.7319890238370093</v>
      </c>
      <c r="T470" s="1979">
        <f>IF(Construction!$F$31=Construction!$R$22,Oeko!CG470,Oeko!ET470)</f>
        <v>7.841652769560743</v>
      </c>
      <c r="U470" s="1979">
        <f>IF(Construction!$F$31=Construction!$R$22,Oeko!CH470,Oeko!EU470)</f>
        <v>7.8690687059916771</v>
      </c>
      <c r="V470" s="1979">
        <f>IF(Construction!$F$31=Construction!$R$22,Oeko!CI470,Oeko!EV470)</f>
        <v>7.8964846424226094</v>
      </c>
      <c r="W470" s="1979">
        <f>IF(Construction!$F$31=Construction!$R$22,Oeko!CJ470,Oeko!EW470)</f>
        <v>7.9467471925459883</v>
      </c>
      <c r="X470" s="1998">
        <f>IF(Construction!$F$31=Construction!$R$22,Oeko!CK470,Oeko!EX470)</f>
        <v>6.1245669116796799</v>
      </c>
      <c r="Y470" s="1998">
        <f>IF(Construction!$F$31=Construction!$R$22,Oeko!CL470,Oeko!EY470)</f>
        <v>6.2122979082586678</v>
      </c>
      <c r="Z470" s="1998">
        <f>IF(Construction!$F$31=Construction!$R$22,Oeko!CM470,Oeko!EZ470)</f>
        <v>6.2342306574034136</v>
      </c>
      <c r="AA470" s="1998">
        <f>IF(Construction!$F$31=Construction!$R$22,Oeko!CN470,Oeko!FA470)</f>
        <v>6.2561634065481604</v>
      </c>
      <c r="AB470" s="1998">
        <f>IF(Construction!$F$31=Construction!$R$22,Oeko!CO470,Oeko!FB470)</f>
        <v>6.2963734466468617</v>
      </c>
      <c r="AC470" s="1979">
        <f>IF(Construction!$F$31=Construction!$R$22,Oeko!CP470,Oeko!FC470)</f>
        <v>5.6281654575838935</v>
      </c>
      <c r="AD470" s="1979">
        <f>IF(Construction!$F$31=Construction!$R$22,Oeko!CQ470,Oeko!FD470)</f>
        <v>5.7012746213997172</v>
      </c>
      <c r="AE470" s="1979">
        <f>IF(Construction!$F$31=Construction!$R$22,Oeko!CR470,Oeko!FE470)</f>
        <v>5.7256443426716581</v>
      </c>
      <c r="AF470" s="1979">
        <f>IF(Construction!$F$31=Construction!$R$22,Oeko!CS470,Oeko!FF470)</f>
        <v>5.7500140639435973</v>
      </c>
      <c r="AG470" s="1979">
        <f>IF(Construction!$F$31=Construction!$R$22,Oeko!CT470,Oeko!FG470)</f>
        <v>5.7946918862754897</v>
      </c>
      <c r="AH470" s="1998">
        <f>IF(Construction!$F$31=Construction!$R$22,Oeko!CU470,Oeko!FH470)</f>
        <v>10.779301890656868</v>
      </c>
      <c r="AI470" s="1998">
        <f>IF(Construction!$F$31=Construction!$R$22,Oeko!CV470,Oeko!FI470)</f>
        <v>10.876780775744631</v>
      </c>
      <c r="AJ470" s="1998">
        <f>IF(Construction!$F$31=Construction!$R$22,Oeko!CW470,Oeko!FJ470)</f>
        <v>10.966136420408413</v>
      </c>
      <c r="AK470" s="1998">
        <f>IF(Construction!$F$31=Construction!$R$22,Oeko!CX470,Oeko!FK470)</f>
        <v>11.063615305496176</v>
      </c>
      <c r="AL470" s="1998">
        <f>IF(Construction!$F$31=Construction!$R$22,Oeko!CY470,Oeko!FL470)</f>
        <v>11.299189277791601</v>
      </c>
      <c r="AM470" s="1979">
        <f>IF(Construction!$F$31=Construction!$R$22,Oeko!CZ470,Oeko!FM470)</f>
        <v>21.812326015362672</v>
      </c>
      <c r="AN470" s="1979">
        <f>IF(Construction!$F$31=Construction!$R$22,Oeko!DA470,Oeko!FN470)</f>
        <v>5.8953001763206387</v>
      </c>
      <c r="AO470" s="1979">
        <f>IF(Construction!$F$31=Construction!$R$22,Oeko!DB470,Oeko!FO470)</f>
        <v>5.9675355707442206</v>
      </c>
      <c r="AP470" s="1979">
        <f>IF(Construction!$F$31=Construction!$R$22,Oeko!DC470,Oeko!FP470)</f>
        <v>6.0650144558319825</v>
      </c>
      <c r="AQ470" s="1979">
        <f>IF(Construction!$F$31=Construction!$R$22,Oeko!DD470,Oeko!FQ470)</f>
        <v>6.1624933409197453</v>
      </c>
      <c r="AR470" s="1998">
        <f>IF(Construction!$F$31=Construction!$R$22,Oeko!DE470,Oeko!FR470)</f>
        <v>70.610688179762619</v>
      </c>
      <c r="AS470" s="1998">
        <f>IF(Construction!$F$31=Construction!$R$22,Oeko!DF470,Oeko!FS470)</f>
        <v>71.787578994077293</v>
      </c>
      <c r="AT470" s="1998">
        <f>IF(Construction!$F$31=Construction!$R$22,Oeko!DG470,Oeko!FT470)</f>
        <v>72.866395573865759</v>
      </c>
      <c r="AU470" s="1998">
        <f>IF(Construction!$F$31=Construction!$R$22,Oeko!DH470,Oeko!FU470)</f>
        <v>74.043286388180448</v>
      </c>
      <c r="AV470" s="1998">
        <f>IF(Construction!$F$31=Construction!$R$22,Oeko!DI470,Oeko!FV470)</f>
        <v>76.887439189440911</v>
      </c>
      <c r="AW470" s="1979">
        <f>IF(Construction!$F$31=Construction!$R$22,Oeko!DJ470,Oeko!FW470)</f>
        <v>71.541732991232237</v>
      </c>
      <c r="AX470" s="1979">
        <f>IF(Construction!$F$31=Construction!$R$22,Oeko!DK470,Oeko!FX470)</f>
        <v>72.716291096969016</v>
      </c>
      <c r="AY470" s="1979">
        <f>IF(Construction!$F$31=Construction!$R$22,Oeko!DL470,Oeko!FY470)</f>
        <v>73.792969360561074</v>
      </c>
      <c r="AZ470" s="1979">
        <f>IF(Construction!$F$31=Construction!$R$22,Oeko!DM470,Oeko!FZ470)</f>
        <v>74.967527466297852</v>
      </c>
      <c r="BA470" s="1979">
        <f>IF(Construction!$F$31=Construction!$R$22,Oeko!DN470,Oeko!GA470)</f>
        <v>77.806042888495099</v>
      </c>
      <c r="BB470" s="1998">
        <f>IF(Construction!$F$31=Construction!$R$22,Oeko!DO470,Oeko!GB470)</f>
        <v>5.6019155247231289</v>
      </c>
      <c r="BC470" s="1998">
        <f>IF(Construction!$F$31=Construction!$R$22,Oeko!DP470,Oeko!GC470)</f>
        <v>5.7173181045059884</v>
      </c>
      <c r="BD470" s="1998">
        <f>IF(Construction!$F$31=Construction!$R$22,Oeko!DQ470,Oeko!GD470)</f>
        <v>5.8327206842888479</v>
      </c>
      <c r="BE470" s="1998">
        <f>IF(Construction!$F$31=Construction!$R$22,Oeko!DR470,Oeko!GE470)</f>
        <v>5.9481232640717074</v>
      </c>
      <c r="BF470" s="1998">
        <f>IF(Construction!$F$31=Construction!$R$22,Oeko!DS470,Oeko!GF470)</f>
        <v>6.0635258438545669</v>
      </c>
      <c r="BG470" s="1979">
        <f>IF(Construction!$F$31=Construction!$R$22,Oeko!DT470,Oeko!GG470)</f>
        <v>6.3027118562843354</v>
      </c>
      <c r="BH470" s="1979">
        <f>IF(Construction!$F$31=Construction!$R$22,Oeko!DU470,Oeko!GH470)</f>
        <v>6.4176894771662454</v>
      </c>
      <c r="BI470" s="1979">
        <f>IF(Construction!$F$31=Construction!$R$22,Oeko!DV470,Oeko!GI470)</f>
        <v>6.5326670980481545</v>
      </c>
      <c r="BJ470" s="1979">
        <f>IF(Construction!$F$31=Construction!$R$22,Oeko!DW470,Oeko!GJ470)</f>
        <v>6.6476447189300636</v>
      </c>
      <c r="BK470" s="2021">
        <f>IF(Construction!$F$31=Construction!$R$22,Oeko!DX470,Oeko!GK470)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IF(Construction!$F$31=Construction!$R$22,Oeko!BQ471,Oeko!ED471)</f>
        <v>30.730388145760884</v>
      </c>
      <c r="E471" s="1998">
        <f>IF(Construction!$F$31=Construction!$R$22,Oeko!BR471,Oeko!EE471)</f>
        <v>6.0313296209641862</v>
      </c>
      <c r="F471" s="1998">
        <f>IF(Construction!$F$31=Construction!$R$22,Oeko!BS471,Oeko!EF471)</f>
        <v>6.0884840309108146</v>
      </c>
      <c r="G471" s="1998">
        <f>IF(Construction!$F$31=Construction!$R$22,Oeko!BT471,Oeko!EG471)</f>
        <v>6.1737780553626065</v>
      </c>
      <c r="H471" s="1998">
        <f>IF(Construction!$F$31=Construction!$R$22,Oeko!BU471,Oeko!EH471)</f>
        <v>6.2590720798143993</v>
      </c>
      <c r="I471" s="1979">
        <f>IF(Construction!$F$31=Construction!$R$22,Oeko!BV471,Oeko!EI471)</f>
        <v>60.369560139505502</v>
      </c>
      <c r="J471" s="1979">
        <f>IF(Construction!$F$31=Construction!$R$22,Oeko!BW471,Oeko!EJ471)</f>
        <v>10.099745076358159</v>
      </c>
      <c r="K471" s="1979">
        <f>IF(Construction!$F$31=Construction!$R$22,Oeko!BX471,Oeko!EK471)</f>
        <v>10.193269762926057</v>
      </c>
      <c r="L471" s="1979">
        <f>IF(Construction!$F$31=Construction!$R$22,Oeko!BY471,Oeko!EL471)</f>
        <v>10.339488090557701</v>
      </c>
      <c r="M471" s="1979">
        <f>IF(Construction!$F$31=Construction!$R$22,Oeko!BZ471,Oeko!EM471)</f>
        <v>10.485706418189347</v>
      </c>
      <c r="N471" s="1998">
        <f>IF(Construction!$F$31=Construction!$R$22,Oeko!CA471,Oeko!EN471)</f>
        <v>5.7342975293720535</v>
      </c>
      <c r="O471" s="1998">
        <f>IF(Construction!$F$31=Construction!$R$22,Oeko!CB471,Oeko!EO471)</f>
        <v>5.8178508594472778</v>
      </c>
      <c r="P471" s="1998">
        <f>IF(Construction!$F$31=Construction!$R$22,Oeko!CC471,Oeko!EP471)</f>
        <v>5.8387391919660852</v>
      </c>
      <c r="Q471" s="1998">
        <f>IF(Construction!$F$31=Construction!$R$22,Oeko!CD471,Oeko!EQ471)</f>
        <v>5.8596275244848917</v>
      </c>
      <c r="R471" s="1998">
        <f>IF(Construction!$F$31=Construction!$R$22,Oeko!CE471,Oeko!ER471)</f>
        <v>5.8979228007693703</v>
      </c>
      <c r="S471" s="1979">
        <f>IF(Construction!$F$31=Construction!$R$22,Oeko!CF471,Oeko!ES471)</f>
        <v>8.133774306402632</v>
      </c>
      <c r="T471" s="1979">
        <f>IF(Construction!$F$31=Construction!$R$22,Oeko!CG471,Oeko!ET471)</f>
        <v>8.2434380521263666</v>
      </c>
      <c r="U471" s="1979">
        <f>IF(Construction!$F$31=Construction!$R$22,Oeko!CH471,Oeko!EU471)</f>
        <v>8.2708539885572989</v>
      </c>
      <c r="V471" s="1979">
        <f>IF(Construction!$F$31=Construction!$R$22,Oeko!CI471,Oeko!EV471)</f>
        <v>8.2982699249882312</v>
      </c>
      <c r="W471" s="1979">
        <f>IF(Construction!$F$31=Construction!$R$22,Oeko!CJ471,Oeko!EW471)</f>
        <v>8.348532475111611</v>
      </c>
      <c r="X471" s="1998">
        <f>IF(Construction!$F$31=Construction!$R$22,Oeko!CK471,Oeko!EX471)</f>
        <v>6.3405265010587026</v>
      </c>
      <c r="Y471" s="1998">
        <f>IF(Construction!$F$31=Construction!$R$22,Oeko!CL471,Oeko!EY471)</f>
        <v>6.4282574976376887</v>
      </c>
      <c r="Z471" s="1998">
        <f>IF(Construction!$F$31=Construction!$R$22,Oeko!CM471,Oeko!EZ471)</f>
        <v>6.4501902467824355</v>
      </c>
      <c r="AA471" s="1998">
        <f>IF(Construction!$F$31=Construction!$R$22,Oeko!CN471,Oeko!FA471)</f>
        <v>6.4721229959271822</v>
      </c>
      <c r="AB471" s="1998">
        <f>IF(Construction!$F$31=Construction!$R$22,Oeko!CO471,Oeko!FB471)</f>
        <v>6.5123330360258844</v>
      </c>
      <c r="AC471" s="1979">
        <f>IF(Construction!$F$31=Construction!$R$22,Oeko!CP471,Oeko!FC471)</f>
        <v>5.7844152896927481</v>
      </c>
      <c r="AD471" s="1979">
        <f>IF(Construction!$F$31=Construction!$R$22,Oeko!CQ471,Oeko!FD471)</f>
        <v>5.85752445350857</v>
      </c>
      <c r="AE471" s="1979">
        <f>IF(Construction!$F$31=Construction!$R$22,Oeko!CR471,Oeko!FE471)</f>
        <v>5.8818941747805109</v>
      </c>
      <c r="AF471" s="1979">
        <f>IF(Construction!$F$31=Construction!$R$22,Oeko!CS471,Oeko!FF471)</f>
        <v>5.9062638960524501</v>
      </c>
      <c r="AG471" s="1979">
        <f>IF(Construction!$F$31=Construction!$R$22,Oeko!CT471,Oeko!FG471)</f>
        <v>5.9509417183843425</v>
      </c>
      <c r="AH471" s="1998">
        <f>IF(Construction!$F$31=Construction!$R$22,Oeko!CU471,Oeko!FH471)</f>
        <v>11.187464717390199</v>
      </c>
      <c r="AI471" s="1998">
        <f>IF(Construction!$F$31=Construction!$R$22,Oeko!CV471,Oeko!FI471)</f>
        <v>11.284943602477961</v>
      </c>
      <c r="AJ471" s="1998">
        <f>IF(Construction!$F$31=Construction!$R$22,Oeko!CW471,Oeko!FJ471)</f>
        <v>11.374299247141746</v>
      </c>
      <c r="AK471" s="1998">
        <f>IF(Construction!$F$31=Construction!$R$22,Oeko!CX471,Oeko!FK471)</f>
        <v>11.471778132229506</v>
      </c>
      <c r="AL471" s="1998">
        <f>IF(Construction!$F$31=Construction!$R$22,Oeko!CY471,Oeko!FL471)</f>
        <v>11.707352104524935</v>
      </c>
      <c r="AM471" s="1979">
        <f>IF(Construction!$F$31=Construction!$R$22,Oeko!CZ471,Oeko!FM471)</f>
        <v>25.581437287940258</v>
      </c>
      <c r="AN471" s="1979">
        <f>IF(Construction!$F$31=Construction!$R$22,Oeko!DA471,Oeko!FN471)</f>
        <v>6.1056326213138252</v>
      </c>
      <c r="AO471" s="1979">
        <f>IF(Construction!$F$31=Construction!$R$22,Oeko!DB471,Oeko!FO471)</f>
        <v>6.1758686802226901</v>
      </c>
      <c r="AP471" s="1979">
        <f>IF(Construction!$F$31=Construction!$R$22,Oeko!DC471,Oeko!FP471)</f>
        <v>6.2733475653104538</v>
      </c>
      <c r="AQ471" s="1979">
        <f>IF(Construction!$F$31=Construction!$R$22,Oeko!DD471,Oeko!FQ471)</f>
        <v>6.3708264503982175</v>
      </c>
      <c r="AR471" s="1998">
        <f>IF(Construction!$F$31=Construction!$R$22,Oeko!DE471,Oeko!FR471)</f>
        <v>75.138166933297214</v>
      </c>
      <c r="AS471" s="1998">
        <f>IF(Construction!$F$31=Construction!$R$22,Oeko!DF471,Oeko!FS471)</f>
        <v>76.315057747611903</v>
      </c>
      <c r="AT471" s="1998">
        <f>IF(Construction!$F$31=Construction!$R$22,Oeko!DG471,Oeko!FT471)</f>
        <v>77.393874327400354</v>
      </c>
      <c r="AU471" s="1998">
        <f>IF(Construction!$F$31=Construction!$R$22,Oeko!DH471,Oeko!FU471)</f>
        <v>78.570765141715043</v>
      </c>
      <c r="AV471" s="1998">
        <f>IF(Construction!$F$31=Construction!$R$22,Oeko!DI471,Oeko!FV471)</f>
        <v>81.414917942975507</v>
      </c>
      <c r="AW471" s="1979">
        <f>IF(Construction!$F$31=Construction!$R$22,Oeko!DJ471,Oeko!FW471)</f>
        <v>77.638128442245062</v>
      </c>
      <c r="AX471" s="1979">
        <f>IF(Construction!$F$31=Construction!$R$22,Oeko!DK471,Oeko!FX471)</f>
        <v>78.812686547981841</v>
      </c>
      <c r="AY471" s="1979">
        <f>IF(Construction!$F$31=Construction!$R$22,Oeko!DL471,Oeko!FY471)</f>
        <v>79.889364811573898</v>
      </c>
      <c r="AZ471" s="1979">
        <f>IF(Construction!$F$31=Construction!$R$22,Oeko!DM471,Oeko!FZ471)</f>
        <v>81.063922917310677</v>
      </c>
      <c r="BA471" s="1979">
        <f>IF(Construction!$F$31=Construction!$R$22,Oeko!DN471,Oeko!GA471)</f>
        <v>83.902438339507924</v>
      </c>
      <c r="BB471" s="1998">
        <f>IF(Construction!$F$31=Construction!$R$22,Oeko!DO471,Oeko!GB471)</f>
        <v>5.2555340947382323</v>
      </c>
      <c r="BC471" s="1998">
        <f>IF(Construction!$F$31=Construction!$R$22,Oeko!DP471,Oeko!GC471)</f>
        <v>5.4286379644125216</v>
      </c>
      <c r="BD471" s="1998">
        <f>IF(Construction!$F$31=Construction!$R$22,Oeko!DQ471,Oeko!GD471)</f>
        <v>5.6017418340868108</v>
      </c>
      <c r="BE471" s="1998">
        <f>IF(Construction!$F$31=Construction!$R$22,Oeko!DR471,Oeko!GE471)</f>
        <v>5.7748457037610983</v>
      </c>
      <c r="BF471" s="1998">
        <f>IF(Construction!$F$31=Construction!$R$22,Oeko!DS471,Oeko!GF471)</f>
        <v>5.9479495734353884</v>
      </c>
      <c r="BG471" s="1979">
        <f>IF(Construction!$F$31=Construction!$R$22,Oeko!DT471,Oeko!GG471)</f>
        <v>6.1210235287514152</v>
      </c>
      <c r="BH471" s="1979">
        <f>IF(Construction!$F$31=Construction!$R$22,Oeko!DU471,Oeko!GH471)</f>
        <v>6.2934899600742789</v>
      </c>
      <c r="BI471" s="1979">
        <f>IF(Construction!$F$31=Construction!$R$22,Oeko!DV471,Oeko!GI471)</f>
        <v>6.4659563913971443</v>
      </c>
      <c r="BJ471" s="1979">
        <f>IF(Construction!$F$31=Construction!$R$22,Oeko!DW471,Oeko!GJ471)</f>
        <v>6.6384228227200097</v>
      </c>
      <c r="BK471" s="2021">
        <f>IF(Construction!$F$31=Construction!$R$22,Oeko!DX471,Oeko!GK471)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IF(Construction!$F$31=Construction!$R$22,Oeko!BQ472,Oeko!ED472)</f>
        <v>34.01661397527554</v>
      </c>
      <c r="E472" s="1998">
        <f>IF(Construction!$F$31=Construction!$R$22,Oeko!BR472,Oeko!EE472)</f>
        <v>6.1978467379860236</v>
      </c>
      <c r="F472" s="1998">
        <f>IF(Construction!$F$31=Construction!$R$22,Oeko!BS472,Oeko!EF472)</f>
        <v>6.2532484836827393</v>
      </c>
      <c r="G472" s="1998">
        <f>IF(Construction!$F$31=Construction!$R$22,Oeko!BT472,Oeko!EG472)</f>
        <v>6.338542508134533</v>
      </c>
      <c r="H472" s="1998">
        <f>IF(Construction!$F$31=Construction!$R$22,Oeko!BU472,Oeko!EH472)</f>
        <v>6.4238365325863258</v>
      </c>
      <c r="I472" s="1979">
        <f>IF(Construction!$F$31=Construction!$R$22,Oeko!BV472,Oeko!EI472)</f>
        <v>34.63581001201041</v>
      </c>
      <c r="J472" s="1979">
        <f>IF(Construction!$F$31=Construction!$R$22,Oeko!BW472,Oeko!EJ472)</f>
        <v>8.0911871327590621</v>
      </c>
      <c r="K472" s="1979">
        <f>IF(Construction!$F$31=Construction!$R$22,Oeko!BX472,Oeko!EK472)</f>
        <v>8.1980407227583978</v>
      </c>
      <c r="L472" s="1979">
        <f>IF(Construction!$F$31=Construction!$R$22,Oeko!BY472,Oeko!EL472)</f>
        <v>8.3442590503900416</v>
      </c>
      <c r="M472" s="1979">
        <f>IF(Construction!$F$31=Construction!$R$22,Oeko!BZ472,Oeko!EM472)</f>
        <v>8.4904773780216853</v>
      </c>
      <c r="N472" s="1998">
        <f>IF(Construction!$F$31=Construction!$R$22,Oeko!CA472,Oeko!EN472)</f>
        <v>5.4122476958461379</v>
      </c>
      <c r="O472" s="1998">
        <f>IF(Construction!$F$31=Construction!$R$22,Oeko!CB472,Oeko!EO472)</f>
        <v>5.4958010259213639</v>
      </c>
      <c r="P472" s="1998">
        <f>IF(Construction!$F$31=Construction!$R$22,Oeko!CC472,Oeko!EP472)</f>
        <v>5.5236521359464392</v>
      </c>
      <c r="Q472" s="1998">
        <f>IF(Construction!$F$31=Construction!$R$22,Oeko!CD472,Oeko!EQ472)</f>
        <v>5.5515032459715146</v>
      </c>
      <c r="R472" s="1998">
        <f>IF(Construction!$F$31=Construction!$R$22,Oeko!CE472,Oeko!ER472)</f>
        <v>5.6025636143508182</v>
      </c>
      <c r="S472" s="1979">
        <f>IF(Construction!$F$31=Construction!$R$22,Oeko!CF472,Oeko!ES472)</f>
        <v>8.3848901080061466</v>
      </c>
      <c r="T472" s="1979">
        <f>IF(Construction!$F$31=Construction!$R$22,Oeko!CG472,Oeko!ET472)</f>
        <v>8.4945538537298795</v>
      </c>
      <c r="U472" s="1979">
        <f>IF(Construction!$F$31=Construction!$R$22,Oeko!CH472,Oeko!EU472)</f>
        <v>8.5219697901608136</v>
      </c>
      <c r="V472" s="1979">
        <f>IF(Construction!$F$31=Construction!$R$22,Oeko!CI472,Oeko!EV472)</f>
        <v>8.5493857265917459</v>
      </c>
      <c r="W472" s="1979">
        <f>IF(Construction!$F$31=Construction!$R$22,Oeko!CJ472,Oeko!EW472)</f>
        <v>8.5996482767151239</v>
      </c>
      <c r="X472" s="1998">
        <f>IF(Construction!$F$31=Construction!$R$22,Oeko!CK472,Oeko!EX472)</f>
        <v>6.1106329881033394</v>
      </c>
      <c r="Y472" s="1998">
        <f>IF(Construction!$F$31=Construction!$R$22,Oeko!CL472,Oeko!EY472)</f>
        <v>6.1983639846823273</v>
      </c>
      <c r="Z472" s="1998">
        <f>IF(Construction!$F$31=Construction!$R$22,Oeko!CM472,Oeko!EZ472)</f>
        <v>6.2276076502086557</v>
      </c>
      <c r="AA472" s="1998">
        <f>IF(Construction!$F$31=Construction!$R$22,Oeko!CN472,Oeko!FA472)</f>
        <v>6.256851315734985</v>
      </c>
      <c r="AB472" s="1998">
        <f>IF(Construction!$F$31=Construction!$R$22,Oeko!CO472,Oeko!FB472)</f>
        <v>6.3104647025332552</v>
      </c>
      <c r="AC472" s="1979">
        <f>IF(Construction!$F$31=Construction!$R$22,Oeko!CP472,Oeko!FC472)</f>
        <v>6.1750398699648796</v>
      </c>
      <c r="AD472" s="1979">
        <f>IF(Construction!$F$31=Construction!$R$22,Oeko!CQ472,Oeko!FD472)</f>
        <v>6.2481490337807024</v>
      </c>
      <c r="AE472" s="1979">
        <f>IF(Construction!$F$31=Construction!$R$22,Oeko!CR472,Oeko!FE472)</f>
        <v>6.2725187550526442</v>
      </c>
      <c r="AF472" s="1979">
        <f>IF(Construction!$F$31=Construction!$R$22,Oeko!CS472,Oeko!FF472)</f>
        <v>6.2968884763245843</v>
      </c>
      <c r="AG472" s="1979">
        <f>IF(Construction!$F$31=Construction!$R$22,Oeko!CT472,Oeko!FG472)</f>
        <v>6.3415662986564758</v>
      </c>
      <c r="AH472" s="1998">
        <f>IF(Construction!$F$31=Construction!$R$22,Oeko!CU472,Oeko!FH472)</f>
        <v>9.5648476534402072</v>
      </c>
      <c r="AI472" s="1998">
        <f>IF(Construction!$F$31=Construction!$R$22,Oeko!CV472,Oeko!FI472)</f>
        <v>9.7110659810718527</v>
      </c>
      <c r="AJ472" s="1998">
        <f>IF(Construction!$F$31=Construction!$R$22,Oeko!CW472,Oeko!FJ472)</f>
        <v>9.8450994480675256</v>
      </c>
      <c r="AK472" s="1998">
        <f>IF(Construction!$F$31=Construction!$R$22,Oeko!CX472,Oeko!FK472)</f>
        <v>9.9913177756991693</v>
      </c>
      <c r="AL472" s="1998">
        <f>IF(Construction!$F$31=Construction!$R$22,Oeko!CY472,Oeko!FL472)</f>
        <v>10.34467873414231</v>
      </c>
      <c r="AM472" s="1979">
        <f>IF(Construction!$F$31=Construction!$R$22,Oeko!CZ472,Oeko!FM472)</f>
        <v>19.725656497859042</v>
      </c>
      <c r="AN472" s="1979">
        <f>IF(Construction!$F$31=Construction!$R$22,Oeko!DA472,Oeko!FN472)</f>
        <v>5.5880200726092042</v>
      </c>
      <c r="AO472" s="1979">
        <f>IF(Construction!$F$31=Construction!$R$22,Oeko!DB472,Oeko!FO472)</f>
        <v>5.6612551347901423</v>
      </c>
      <c r="AP472" s="1979">
        <f>IF(Construction!$F$31=Construction!$R$22,Oeko!DC472,Oeko!FP472)</f>
        <v>5.758734019877906</v>
      </c>
      <c r="AQ472" s="1979">
        <f>IF(Construction!$F$31=Construction!$R$22,Oeko!DD472,Oeko!FQ472)</f>
        <v>5.8562129049656697</v>
      </c>
      <c r="AR472" s="1998">
        <f>IF(Construction!$F$31=Construction!$R$22,Oeko!DE472,Oeko!FR472)</f>
        <v>82.180911661017717</v>
      </c>
      <c r="AS472" s="1998">
        <f>IF(Construction!$F$31=Construction!$R$22,Oeko!DF472,Oeko!FS472)</f>
        <v>83.357802475332392</v>
      </c>
      <c r="AT472" s="1998">
        <f>IF(Construction!$F$31=Construction!$R$22,Oeko!DG472,Oeko!FT472)</f>
        <v>84.436619055120843</v>
      </c>
      <c r="AU472" s="1998">
        <f>IF(Construction!$F$31=Construction!$R$22,Oeko!DH472,Oeko!FU472)</f>
        <v>85.613509869435532</v>
      </c>
      <c r="AV472" s="1998">
        <f>IF(Construction!$F$31=Construction!$R$22,Oeko!DI472,Oeko!FV472)</f>
        <v>88.457662670695981</v>
      </c>
      <c r="AW472" s="1979">
        <f>IF(Construction!$F$31=Construction!$R$22,Oeko!DJ472,Oeko!FW472)</f>
        <v>82.972474461881291</v>
      </c>
      <c r="AX472" s="1979">
        <f>IF(Construction!$F$31=Construction!$R$22,Oeko!DK472,Oeko!FX472)</f>
        <v>84.147032567618083</v>
      </c>
      <c r="AY472" s="1979">
        <f>IF(Construction!$F$31=Construction!$R$22,Oeko!DL472,Oeko!FY472)</f>
        <v>85.223710831210127</v>
      </c>
      <c r="AZ472" s="1979">
        <f>IF(Construction!$F$31=Construction!$R$22,Oeko!DM472,Oeko!FZ472)</f>
        <v>86.398268936946906</v>
      </c>
      <c r="BA472" s="1979">
        <f>IF(Construction!$F$31=Construction!$R$22,Oeko!DN472,Oeko!GA472)</f>
        <v>89.236784359144139</v>
      </c>
      <c r="BB472" s="1998">
        <f>IF(Construction!$F$31=Construction!$R$22,Oeko!DO472,Oeko!GB472)</f>
        <v>5.5835772544236191</v>
      </c>
      <c r="BC472" s="1998">
        <f>IF(Construction!$F$31=Construction!$R$22,Oeko!DP472,Oeko!GC472)</f>
        <v>5.7566811240979074</v>
      </c>
      <c r="BD472" s="1998">
        <f>IF(Construction!$F$31=Construction!$R$22,Oeko!DQ472,Oeko!GD472)</f>
        <v>5.9297849937721976</v>
      </c>
      <c r="BE472" s="1998">
        <f>IF(Construction!$F$31=Construction!$R$22,Oeko!DR472,Oeko!GE472)</f>
        <v>6.1028888634464868</v>
      </c>
      <c r="BF472" s="1998">
        <f>IF(Construction!$F$31=Construction!$R$22,Oeko!DS472,Oeko!GF472)</f>
        <v>6.2759927331207761</v>
      </c>
      <c r="BG472" s="1979">
        <f>IF(Construction!$F$31=Construction!$R$22,Oeko!DT472,Oeko!GG472)</f>
        <v>6.415175183821531</v>
      </c>
      <c r="BH472" s="1979">
        <f>IF(Construction!$F$31=Construction!$R$22,Oeko!DU472,Oeko!GH472)</f>
        <v>6.5876416151443955</v>
      </c>
      <c r="BI472" s="1979">
        <f>IF(Construction!$F$31=Construction!$R$22,Oeko!DV472,Oeko!GI472)</f>
        <v>6.76010804646726</v>
      </c>
      <c r="BJ472" s="1979">
        <f>IF(Construction!$F$31=Construction!$R$22,Oeko!DW472,Oeko!GJ472)</f>
        <v>6.9325744777901246</v>
      </c>
      <c r="BK472" s="2021">
        <f>IF(Construction!$F$31=Construction!$R$22,Oeko!DX472,Oeko!GK472)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IF(Construction!$F$31=Construction!$R$22,Oeko!BQ473,Oeko!ED473)</f>
        <v>33.127296427133594</v>
      </c>
      <c r="E473" s="1998">
        <f>IF(Construction!$F$31=Construction!$R$22,Oeko!BR473,Oeko!EE473)</f>
        <v>6.0836420026702145</v>
      </c>
      <c r="F473" s="1998">
        <f>IF(Construction!$F$31=Construction!$R$22,Oeko!BS473,Oeko!EF473)</f>
        <v>6.1394792097006272</v>
      </c>
      <c r="G473" s="1998">
        <f>IF(Construction!$F$31=Construction!$R$22,Oeko!BT473,Oeko!EG473)</f>
        <v>6.2247732341524191</v>
      </c>
      <c r="H473" s="1998">
        <f>IF(Construction!$F$31=Construction!$R$22,Oeko!BU473,Oeko!EH473)</f>
        <v>6.310067258604211</v>
      </c>
      <c r="I473" s="1979">
        <f>IF(Construction!$F$31=Construction!$R$22,Oeko!BV473,Oeko!EI473)</f>
        <v>40.861655811850248</v>
      </c>
      <c r="J473" s="1979">
        <f>IF(Construction!$F$31=Construction!$R$22,Oeko!BW473,Oeko!EJ473)</f>
        <v>8.5109083843483706</v>
      </c>
      <c r="K473" s="1979">
        <f>IF(Construction!$F$31=Construction!$R$22,Oeko!BX473,Oeko!EK473)</f>
        <v>8.6145000714381474</v>
      </c>
      <c r="L473" s="1979">
        <f>IF(Construction!$F$31=Construction!$R$22,Oeko!BY473,Oeko!EL473)</f>
        <v>8.760718399069793</v>
      </c>
      <c r="M473" s="1979">
        <f>IF(Construction!$F$31=Construction!$R$22,Oeko!BZ473,Oeko!EM473)</f>
        <v>8.9069367267014385</v>
      </c>
      <c r="N473" s="1998">
        <f>IF(Construction!$F$31=Construction!$R$22,Oeko!CA473,Oeko!EN473)</f>
        <v>5.5312951869766938</v>
      </c>
      <c r="O473" s="1998">
        <f>IF(Construction!$F$31=Construction!$R$22,Oeko!CB473,Oeko!EO473)</f>
        <v>5.6148485170519189</v>
      </c>
      <c r="P473" s="1998">
        <f>IF(Construction!$F$31=Construction!$R$22,Oeko!CC473,Oeko!EP473)</f>
        <v>5.6426996270769942</v>
      </c>
      <c r="Q473" s="1998">
        <f>IF(Construction!$F$31=Construction!$R$22,Oeko!CD473,Oeko!EQ473)</f>
        <v>5.6705507371020705</v>
      </c>
      <c r="R473" s="1998">
        <f>IF(Construction!$F$31=Construction!$R$22,Oeko!CE473,Oeko!ER473)</f>
        <v>5.7216111054813741</v>
      </c>
      <c r="S473" s="1979">
        <f>IF(Construction!$F$31=Construction!$R$22,Oeko!CF473,Oeko!ES473)</f>
        <v>8.1017084801720021</v>
      </c>
      <c r="T473" s="1979">
        <f>IF(Construction!$F$31=Construction!$R$22,Oeko!CG473,Oeko!ET473)</f>
        <v>8.2113722258957349</v>
      </c>
      <c r="U473" s="1979">
        <f>IF(Construction!$F$31=Construction!$R$22,Oeko!CH473,Oeko!EU473)</f>
        <v>8.2479268078036458</v>
      </c>
      <c r="V473" s="1979">
        <f>IF(Construction!$F$31=Construction!$R$22,Oeko!CI473,Oeko!EV473)</f>
        <v>8.2844813897115586</v>
      </c>
      <c r="W473" s="1979">
        <f>IF(Construction!$F$31=Construction!$R$22,Oeko!CJ473,Oeko!EW473)</f>
        <v>8.3514981232093941</v>
      </c>
      <c r="X473" s="1998">
        <f>IF(Construction!$F$31=Construction!$R$22,Oeko!CK473,Oeko!EX473)</f>
        <v>6.3505880874133638</v>
      </c>
      <c r="Y473" s="1998">
        <f>IF(Construction!$F$31=Construction!$R$22,Oeko!CL473,Oeko!EY473)</f>
        <v>6.4383190839923508</v>
      </c>
      <c r="Z473" s="1998">
        <f>IF(Construction!$F$31=Construction!$R$22,Oeko!CM473,Oeko!EZ473)</f>
        <v>6.4675627495186809</v>
      </c>
      <c r="AA473" s="1998">
        <f>IF(Construction!$F$31=Construction!$R$22,Oeko!CN473,Oeko!FA473)</f>
        <v>6.4968064150450093</v>
      </c>
      <c r="AB473" s="1998">
        <f>IF(Construction!$F$31=Construction!$R$22,Oeko!CO473,Oeko!FB473)</f>
        <v>6.5504198018432795</v>
      </c>
      <c r="AC473" s="1979">
        <f>IF(Construction!$F$31=Construction!$R$22,Oeko!CP473,Oeko!FC473)</f>
        <v>5.8041609666460054</v>
      </c>
      <c r="AD473" s="1979">
        <f>IF(Construction!$F$31=Construction!$R$22,Oeko!CQ473,Oeko!FD473)</f>
        <v>5.8772701304618282</v>
      </c>
      <c r="AE473" s="1979">
        <f>IF(Construction!$F$31=Construction!$R$22,Oeko!CR473,Oeko!FE473)</f>
        <v>5.9138247123697392</v>
      </c>
      <c r="AF473" s="1979">
        <f>IF(Construction!$F$31=Construction!$R$22,Oeko!CS473,Oeko!FF473)</f>
        <v>5.950379294277651</v>
      </c>
      <c r="AG473" s="1979">
        <f>IF(Construction!$F$31=Construction!$R$22,Oeko!CT473,Oeko!FG473)</f>
        <v>6.0173960277754874</v>
      </c>
      <c r="AH473" s="1998">
        <f>IF(Construction!$F$31=Construction!$R$22,Oeko!CU473,Oeko!FH473)</f>
        <v>9.870969773490204</v>
      </c>
      <c r="AI473" s="1998">
        <f>IF(Construction!$F$31=Construction!$R$22,Oeko!CV473,Oeko!FI473)</f>
        <v>10.017188101121848</v>
      </c>
      <c r="AJ473" s="1998">
        <f>IF(Construction!$F$31=Construction!$R$22,Oeko!CW473,Oeko!FJ473)</f>
        <v>10.151221568117524</v>
      </c>
      <c r="AK473" s="1998">
        <f>IF(Construction!$F$31=Construction!$R$22,Oeko!CX473,Oeko!FK473)</f>
        <v>10.297439895749168</v>
      </c>
      <c r="AL473" s="1998">
        <f>IF(Construction!$F$31=Construction!$R$22,Oeko!CY473,Oeko!FL473)</f>
        <v>10.650800854192308</v>
      </c>
      <c r="AM473" s="1979">
        <f>IF(Construction!$F$31=Construction!$R$22,Oeko!CZ473,Oeko!FM473)</f>
        <v>23.545811259355311</v>
      </c>
      <c r="AN473" s="1979">
        <f>IF(Construction!$F$31=Construction!$R$22,Oeko!DA473,Oeko!FN473)</f>
        <v>5.8493960065210739</v>
      </c>
      <c r="AO473" s="1979">
        <f>IF(Construction!$F$31=Construction!$R$22,Oeko!DB473,Oeko!FO473)</f>
        <v>5.9206317331872969</v>
      </c>
      <c r="AP473" s="1979">
        <f>IF(Construction!$F$31=Construction!$R$22,Oeko!DC473,Oeko!FP473)</f>
        <v>6.0181106182750606</v>
      </c>
      <c r="AQ473" s="1979">
        <f>IF(Construction!$F$31=Construction!$R$22,Oeko!DD473,Oeko!FQ473)</f>
        <v>6.1155895033628225</v>
      </c>
      <c r="AR473" s="1998">
        <f>IF(Construction!$F$31=Construction!$R$22,Oeko!DE473,Oeko!FR473)</f>
        <v>87.211443609389477</v>
      </c>
      <c r="AS473" s="1998">
        <f>IF(Construction!$F$31=Construction!$R$22,Oeko!DF473,Oeko!FS473)</f>
        <v>88.388334423704137</v>
      </c>
      <c r="AT473" s="1998">
        <f>IF(Construction!$F$31=Construction!$R$22,Oeko!DG473,Oeko!FT473)</f>
        <v>89.467151003492617</v>
      </c>
      <c r="AU473" s="1998">
        <f>IF(Construction!$F$31=Construction!$R$22,Oeko!DH473,Oeko!FU473)</f>
        <v>90.644041817807292</v>
      </c>
      <c r="AV473" s="1998">
        <f>IF(Construction!$F$31=Construction!$R$22,Oeko!DI473,Oeko!FV473)</f>
        <v>93.488194619067755</v>
      </c>
      <c r="AW473" s="1979">
        <f>IF(Construction!$F$31=Construction!$R$22,Oeko!DJ473,Oeko!FW473)</f>
        <v>87.239951277590251</v>
      </c>
      <c r="AX473" s="1979">
        <f>IF(Construction!$F$31=Construction!$R$22,Oeko!DK473,Oeko!FX473)</f>
        <v>88.414509383327044</v>
      </c>
      <c r="AY473" s="1979">
        <f>IF(Construction!$F$31=Construction!$R$22,Oeko!DL473,Oeko!FY473)</f>
        <v>89.491187646919087</v>
      </c>
      <c r="AZ473" s="1979">
        <f>IF(Construction!$F$31=Construction!$R$22,Oeko!DM473,Oeko!FZ473)</f>
        <v>90.66574575265588</v>
      </c>
      <c r="BA473" s="1979">
        <f>IF(Construction!$F$31=Construction!$R$22,Oeko!DN473,Oeko!GA473)</f>
        <v>93.504261174853127</v>
      </c>
      <c r="BB473" s="1998">
        <f>IF(Construction!$F$31=Construction!$R$22,Oeko!DO473,Oeko!GB473)</f>
        <v>5.9936312040303541</v>
      </c>
      <c r="BC473" s="1998">
        <f>IF(Construction!$F$31=Construction!$R$22,Oeko!DP473,Oeko!GC473)</f>
        <v>6.1667350737046416</v>
      </c>
      <c r="BD473" s="1998">
        <f>IF(Construction!$F$31=Construction!$R$22,Oeko!DQ473,Oeko!GD473)</f>
        <v>6.3398389433789335</v>
      </c>
      <c r="BE473" s="1998">
        <f>IF(Construction!$F$31=Construction!$R$22,Oeko!DR473,Oeko!GE473)</f>
        <v>6.512942813053221</v>
      </c>
      <c r="BF473" s="1998">
        <f>IF(Construction!$F$31=Construction!$R$22,Oeko!DS473,Oeko!GF473)</f>
        <v>6.6860466827275102</v>
      </c>
      <c r="BG473" s="1979">
        <f>IF(Construction!$F$31=Construction!$R$22,Oeko!DT473,Oeko!GG473)</f>
        <v>6.6848142009691385</v>
      </c>
      <c r="BH473" s="1979">
        <f>IF(Construction!$F$31=Construction!$R$22,Oeko!DU473,Oeko!GH473)</f>
        <v>6.857280632292003</v>
      </c>
      <c r="BI473" s="1979">
        <f>IF(Construction!$F$31=Construction!$R$22,Oeko!DV473,Oeko!GI473)</f>
        <v>7.0297470636148676</v>
      </c>
      <c r="BJ473" s="1979">
        <f>IF(Construction!$F$31=Construction!$R$22,Oeko!DW473,Oeko!GJ473)</f>
        <v>7.2022134949377321</v>
      </c>
      <c r="BK473" s="2021">
        <f>IF(Construction!$F$31=Construction!$R$22,Oeko!DX473,Oeko!GK473)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IF(Construction!$F$31=Construction!$R$22,Oeko!BQ474,Oeko!ED474)</f>
        <v>35.966891052153763</v>
      </c>
      <c r="E474" s="1998">
        <f>IF(Construction!$F$31=Construction!$R$22,Oeko!BR474,Oeko!EE474)</f>
        <v>6.1584429248965966</v>
      </c>
      <c r="F474" s="1998">
        <f>IF(Construction!$F$31=Construction!$R$22,Oeko!BS474,Oeko!EF474)</f>
        <v>6.2127268602828112</v>
      </c>
      <c r="G474" s="1998">
        <f>IF(Construction!$F$31=Construction!$R$22,Oeko!BT474,Oeko!EG474)</f>
        <v>6.2980208847346049</v>
      </c>
      <c r="H474" s="1998">
        <f>IF(Construction!$F$31=Construction!$R$22,Oeko!BU474,Oeko!EH474)</f>
        <v>6.3833149091863977</v>
      </c>
      <c r="I474" s="1979">
        <f>IF(Construction!$F$31=Construction!$R$22,Oeko!BV474,Oeko!EI474)</f>
        <v>43.953946154112323</v>
      </c>
      <c r="J474" s="1979">
        <f>IF(Construction!$F$31=Construction!$R$22,Oeko!BW474,Oeko!EJ474)</f>
        <v>8.6834713418415319</v>
      </c>
      <c r="K474" s="1979">
        <f>IF(Construction!$F$31=Construction!$R$22,Oeko!BX474,Oeko!EK474)</f>
        <v>8.7854227149538264</v>
      </c>
      <c r="L474" s="1979">
        <f>IF(Construction!$F$31=Construction!$R$22,Oeko!BY474,Oeko!EL474)</f>
        <v>8.931641042585472</v>
      </c>
      <c r="M474" s="1979">
        <f>IF(Construction!$F$31=Construction!$R$22,Oeko!BZ474,Oeko!EM474)</f>
        <v>9.077859370217114</v>
      </c>
      <c r="N474" s="1998">
        <f>IF(Construction!$F$31=Construction!$R$22,Oeko!CA474,Oeko!EN474)</f>
        <v>4.8574336471422264</v>
      </c>
      <c r="O474" s="1998">
        <f>IF(Construction!$F$31=Construction!$R$22,Oeko!CB474,Oeko!EO474)</f>
        <v>4.9409869772174506</v>
      </c>
      <c r="P474" s="1998">
        <f>IF(Construction!$F$31=Construction!$R$22,Oeko!CC474,Oeko!EP474)</f>
        <v>4.9827636422550636</v>
      </c>
      <c r="Q474" s="1998">
        <f>IF(Construction!$F$31=Construction!$R$22,Oeko!CD474,Oeko!EQ474)</f>
        <v>5.0245403072926766</v>
      </c>
      <c r="R474" s="1998">
        <f>IF(Construction!$F$31=Construction!$R$22,Oeko!CE474,Oeko!ER474)</f>
        <v>5.1011308598616338</v>
      </c>
      <c r="S474" s="1979">
        <f>IF(Construction!$F$31=Construction!$R$22,Oeko!CF474,Oeko!ES474)</f>
        <v>7.499493228163808</v>
      </c>
      <c r="T474" s="1979">
        <f>IF(Construction!$F$31=Construction!$R$22,Oeko!CG474,Oeko!ET474)</f>
        <v>7.6091569738875426</v>
      </c>
      <c r="U474" s="1979">
        <f>IF(Construction!$F$31=Construction!$R$22,Oeko!CH474,Oeko!EU474)</f>
        <v>7.6639888467494099</v>
      </c>
      <c r="V474" s="1979">
        <f>IF(Construction!$F$31=Construction!$R$22,Oeko!CI474,Oeko!EV474)</f>
        <v>7.7188207196112764</v>
      </c>
      <c r="W474" s="1979">
        <f>IF(Construction!$F$31=Construction!$R$22,Oeko!CJ474,Oeko!EW474)</f>
        <v>7.8193458198580315</v>
      </c>
      <c r="X474" s="1998">
        <f>IF(Construction!$F$31=Construction!$R$22,Oeko!CK474,Oeko!EX474)</f>
        <v>5.7948190217786317</v>
      </c>
      <c r="Y474" s="1998">
        <f>IF(Construction!$F$31=Construction!$R$22,Oeko!CL474,Oeko!EY474)</f>
        <v>5.8825500183576178</v>
      </c>
      <c r="Z474" s="1998">
        <f>IF(Construction!$F$31=Construction!$R$22,Oeko!CM474,Oeko!EZ474)</f>
        <v>5.9264155166471113</v>
      </c>
      <c r="AA474" s="1998">
        <f>IF(Construction!$F$31=Construction!$R$22,Oeko!CN474,Oeko!FA474)</f>
        <v>5.9702810149366039</v>
      </c>
      <c r="AB474" s="1998">
        <f>IF(Construction!$F$31=Construction!$R$22,Oeko!CO474,Oeko!FB474)</f>
        <v>6.0507010951340092</v>
      </c>
      <c r="AC474" s="1979">
        <f>IF(Construction!$F$31=Construction!$R$22,Oeko!CP474,Oeko!FC474)</f>
        <v>6.2469203126820547</v>
      </c>
      <c r="AD474" s="1979">
        <f>IF(Construction!$F$31=Construction!$R$22,Oeko!CQ474,Oeko!FD474)</f>
        <v>6.3200294764978748</v>
      </c>
      <c r="AE474" s="1979">
        <f>IF(Construction!$F$31=Construction!$R$22,Oeko!CR474,Oeko!FE474)</f>
        <v>6.3931386403136985</v>
      </c>
      <c r="AF474" s="1979">
        <f>IF(Construction!$F$31=Construction!$R$22,Oeko!CS474,Oeko!FF474)</f>
        <v>6.4662478041295213</v>
      </c>
      <c r="AG474" s="1979">
        <f>IF(Construction!$F$31=Construction!$R$22,Oeko!CT474,Oeko!FG474)</f>
        <v>6.600281271125195</v>
      </c>
      <c r="AH474" s="1998">
        <f>IF(Construction!$F$31=Construction!$R$22,Oeko!CU474,Oeko!FH474)</f>
        <v>11.210254048708943</v>
      </c>
      <c r="AI474" s="1998">
        <f>IF(Construction!$F$31=Construction!$R$22,Oeko!CV474,Oeko!FI474)</f>
        <v>11.356472376340589</v>
      </c>
      <c r="AJ474" s="1998">
        <f>IF(Construction!$F$31=Construction!$R$22,Oeko!CW474,Oeko!FJ474)</f>
        <v>11.490505843336265</v>
      </c>
      <c r="AK474" s="1998">
        <f>IF(Construction!$F$31=Construction!$R$22,Oeko!CX474,Oeko!FK474)</f>
        <v>11.636724170967909</v>
      </c>
      <c r="AL474" s="1998">
        <f>IF(Construction!$F$31=Construction!$R$22,Oeko!CY474,Oeko!FL474)</f>
        <v>11.990085129411048</v>
      </c>
      <c r="AM474" s="1979">
        <f>IF(Construction!$F$31=Construction!$R$22,Oeko!CZ474,Oeko!FM474)</f>
        <v>28.972792175231714</v>
      </c>
      <c r="AN474" s="1979">
        <f>IF(Construction!$F$31=Construction!$R$22,Oeko!DA474,Oeko!FN474)</f>
        <v>6.1924071687054791</v>
      </c>
      <c r="AO474" s="1979">
        <f>IF(Construction!$F$31=Construction!$R$22,Oeko!DB474,Oeko!FO474)</f>
        <v>6.2607867017792529</v>
      </c>
      <c r="AP474" s="1979">
        <f>IF(Construction!$F$31=Construction!$R$22,Oeko!DC474,Oeko!FP474)</f>
        <v>6.3582655868670166</v>
      </c>
      <c r="AQ474" s="1979">
        <f>IF(Construction!$F$31=Construction!$R$22,Oeko!DD474,Oeko!FQ474)</f>
        <v>6.4557444719547785</v>
      </c>
      <c r="AR474" s="1998">
        <f>IF(Construction!$F$31=Construction!$R$22,Oeko!DE474,Oeko!FR474)</f>
        <v>100.29082667515608</v>
      </c>
      <c r="AS474" s="1998">
        <f>IF(Construction!$F$31=Construction!$R$22,Oeko!DF474,Oeko!FS474)</f>
        <v>101.46771748947077</v>
      </c>
      <c r="AT474" s="1998">
        <f>IF(Construction!$F$31=Construction!$R$22,Oeko!DG474,Oeko!FT474)</f>
        <v>102.54653406925922</v>
      </c>
      <c r="AU474" s="1998">
        <f>IF(Construction!$F$31=Construction!$R$22,Oeko!DH474,Oeko!FU474)</f>
        <v>103.72342488357391</v>
      </c>
      <c r="AV474" s="1998">
        <f>IF(Construction!$F$31=Construction!$R$22,Oeko!DI474,Oeko!FV474)</f>
        <v>106.56757768483438</v>
      </c>
      <c r="AW474" s="1979">
        <f>IF(Construction!$F$31=Construction!$R$22,Oeko!DJ474,Oeko!FW474)</f>
        <v>103.24298933649894</v>
      </c>
      <c r="AX474" s="1979">
        <f>IF(Construction!$F$31=Construction!$R$22,Oeko!DK474,Oeko!FX474)</f>
        <v>104.41754744223573</v>
      </c>
      <c r="AY474" s="1979">
        <f>IF(Construction!$F$31=Construction!$R$22,Oeko!DL474,Oeko!FY474)</f>
        <v>105.49422570582777</v>
      </c>
      <c r="AZ474" s="1979">
        <f>IF(Construction!$F$31=Construction!$R$22,Oeko!DM474,Oeko!FZ474)</f>
        <v>106.66878381156455</v>
      </c>
      <c r="BA474" s="1979">
        <f>IF(Construction!$F$31=Construction!$R$22,Oeko!DN474,Oeko!GA474)</f>
        <v>109.50729923376178</v>
      </c>
      <c r="BB474" s="1998">
        <f>IF(Construction!$F$31=Construction!$R$22,Oeko!DO474,Oeko!GB474)</f>
        <v>4.9075527704403994</v>
      </c>
      <c r="BC474" s="1998">
        <f>IF(Construction!$F$31=Construction!$R$22,Oeko!DP474,Oeko!GC474)</f>
        <v>5.2537605097889788</v>
      </c>
      <c r="BD474" s="1998">
        <f>IF(Construction!$F$31=Construction!$R$22,Oeko!DQ474,Oeko!GD474)</f>
        <v>5.5999682491375573</v>
      </c>
      <c r="BE474" s="1998">
        <f>IF(Construction!$F$31=Construction!$R$22,Oeko!DR474,Oeko!GE474)</f>
        <v>5.9461759884861349</v>
      </c>
      <c r="BF474" s="1998">
        <f>IF(Construction!$F$31=Construction!$R$22,Oeko!DS474,Oeko!GF474)</f>
        <v>6.2923837278347126</v>
      </c>
      <c r="BG474" s="1979">
        <f>IF(Construction!$F$31=Construction!$R$22,Oeko!DT474,Oeko!GG474)</f>
        <v>6.066211304602847</v>
      </c>
      <c r="BH474" s="1979">
        <f>IF(Construction!$F$31=Construction!$R$22,Oeko!DU474,Oeko!GH474)</f>
        <v>6.4111441672485769</v>
      </c>
      <c r="BI474" s="1979">
        <f>IF(Construction!$F$31=Construction!$R$22,Oeko!DV474,Oeko!GI474)</f>
        <v>6.756077029894306</v>
      </c>
      <c r="BJ474" s="1979">
        <f>IF(Construction!$F$31=Construction!$R$22,Oeko!DW474,Oeko!GJ474)</f>
        <v>7.101009892540036</v>
      </c>
      <c r="BK474" s="2021">
        <f>IF(Construction!$F$31=Construction!$R$22,Oeko!DX474,Oeko!GK474)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Proportion de fenêtres </v>
      </c>
      <c r="D475" s="1998">
        <f>IF(Construction!$F$31=Construction!$R$22,Oeko!BQ475,Oeko!ED475)</f>
        <v>0</v>
      </c>
      <c r="E475" s="1998">
        <f>IF(Construction!$F$31=Construction!$R$22,Oeko!BR475,Oeko!EE475)</f>
        <v>0</v>
      </c>
      <c r="F475" s="1998">
        <f>IF(Construction!$F$31=Construction!$R$22,Oeko!BS475,Oeko!EF475)</f>
        <v>0</v>
      </c>
      <c r="G475" s="1998">
        <f>IF(Construction!$F$31=Construction!$R$22,Oeko!BT475,Oeko!EG475)</f>
        <v>0</v>
      </c>
      <c r="H475" s="1998">
        <f>IF(Construction!$F$31=Construction!$R$22,Oeko!BU475,Oeko!EH475)</f>
        <v>0</v>
      </c>
      <c r="I475" s="1979">
        <f>IF(Construction!$F$31=Construction!$R$22,Oeko!BV475,Oeko!EI475)</f>
        <v>0</v>
      </c>
      <c r="J475" s="1979">
        <f>IF(Construction!$F$31=Construction!$R$22,Oeko!BW475,Oeko!EJ475)</f>
        <v>0</v>
      </c>
      <c r="K475" s="1979">
        <f>IF(Construction!$F$31=Construction!$R$22,Oeko!BX475,Oeko!EK475)</f>
        <v>0</v>
      </c>
      <c r="L475" s="1979">
        <f>IF(Construction!$F$31=Construction!$R$22,Oeko!BY475,Oeko!EL475)</f>
        <v>0</v>
      </c>
      <c r="M475" s="1979">
        <f>IF(Construction!$F$31=Construction!$R$22,Oeko!BZ475,Oeko!EM475)</f>
        <v>0</v>
      </c>
      <c r="N475" s="1998">
        <f>IF(Construction!$F$31=Construction!$R$22,Oeko!CA475,Oeko!EN475)</f>
        <v>0</v>
      </c>
      <c r="O475" s="1998">
        <f>IF(Construction!$F$31=Construction!$R$22,Oeko!CB475,Oeko!EO475)</f>
        <v>0</v>
      </c>
      <c r="P475" s="1998">
        <f>IF(Construction!$F$31=Construction!$R$22,Oeko!CC475,Oeko!EP475)</f>
        <v>0</v>
      </c>
      <c r="Q475" s="1998">
        <f>IF(Construction!$F$31=Construction!$R$22,Oeko!CD475,Oeko!EQ475)</f>
        <v>0</v>
      </c>
      <c r="R475" s="1998">
        <f>IF(Construction!$F$31=Construction!$R$22,Oeko!CE475,Oeko!ER475)</f>
        <v>0</v>
      </c>
      <c r="S475" s="1979">
        <f>IF(Construction!$F$31=Construction!$R$22,Oeko!CF475,Oeko!ES475)</f>
        <v>0</v>
      </c>
      <c r="T475" s="1979">
        <f>IF(Construction!$F$31=Construction!$R$22,Oeko!CG475,Oeko!ET475)</f>
        <v>0</v>
      </c>
      <c r="U475" s="1979">
        <f>IF(Construction!$F$31=Construction!$R$22,Oeko!CH475,Oeko!EU475)</f>
        <v>0</v>
      </c>
      <c r="V475" s="1979">
        <f>IF(Construction!$F$31=Construction!$R$22,Oeko!CI475,Oeko!EV475)</f>
        <v>0</v>
      </c>
      <c r="W475" s="1979">
        <f>IF(Construction!$F$31=Construction!$R$22,Oeko!CJ475,Oeko!EW475)</f>
        <v>0</v>
      </c>
      <c r="X475" s="1998">
        <f>IF(Construction!$F$31=Construction!$R$22,Oeko!CK475,Oeko!EX475)</f>
        <v>6.7692399534423702</v>
      </c>
      <c r="Y475" s="1998">
        <f>IF(Construction!$F$31=Construction!$R$22,Oeko!CL475,Oeko!EY475)</f>
        <v>6.8569709500213571</v>
      </c>
      <c r="Z475" s="1998">
        <f>IF(Construction!$F$31=Construction!$R$22,Oeko!CM475,Oeko!EZ475)</f>
        <v>6.8715927827845213</v>
      </c>
      <c r="AA475" s="1998">
        <f>IF(Construction!$F$31=Construction!$R$22,Oeko!CN475,Oeko!FA475)</f>
        <v>6.8862146155476864</v>
      </c>
      <c r="AB475" s="1998">
        <f>IF(Construction!$F$31=Construction!$R$22,Oeko!CO475,Oeko!FB475)</f>
        <v>6.9130213089468215</v>
      </c>
      <c r="AC475" s="1979">
        <f>IF(Construction!$F$31=Construction!$R$22,Oeko!CP475,Oeko!FC475)</f>
        <v>0</v>
      </c>
      <c r="AD475" s="1979">
        <f>IF(Construction!$F$31=Construction!$R$22,Oeko!CQ475,Oeko!FD475)</f>
        <v>0</v>
      </c>
      <c r="AE475" s="1979">
        <f>IF(Construction!$F$31=Construction!$R$22,Oeko!CR475,Oeko!FE475)</f>
        <v>0</v>
      </c>
      <c r="AF475" s="1979">
        <f>IF(Construction!$F$31=Construction!$R$22,Oeko!CS475,Oeko!FF475)</f>
        <v>0</v>
      </c>
      <c r="AG475" s="1979">
        <f>IF(Construction!$F$31=Construction!$R$22,Oeko!CT475,Oeko!FG475)</f>
        <v>0</v>
      </c>
      <c r="AH475" s="1998">
        <f>IF(Construction!$F$31=Construction!$R$22,Oeko!CU475,Oeko!FH475)</f>
        <v>11.669437228783941</v>
      </c>
      <c r="AI475" s="1998">
        <f>IF(Construction!$F$31=Construction!$R$22,Oeko!CV475,Oeko!FI475)</f>
        <v>11.815655556415585</v>
      </c>
      <c r="AJ475" s="1998">
        <f>IF(Construction!$F$31=Construction!$R$22,Oeko!CW475,Oeko!FJ475)</f>
        <v>11.949689023411258</v>
      </c>
      <c r="AK475" s="1998">
        <f>IF(Construction!$F$31=Construction!$R$22,Oeko!CX475,Oeko!FK475)</f>
        <v>12.095907351042904</v>
      </c>
      <c r="AL475" s="1998">
        <f>IF(Construction!$F$31=Construction!$R$22,Oeko!CY475,Oeko!FL475)</f>
        <v>12.449268309486042</v>
      </c>
      <c r="AM475" s="1979">
        <f>IF(Construction!$F$31=Construction!$R$22,Oeko!CZ475,Oeko!FM475)</f>
        <v>23.696881651651463</v>
      </c>
      <c r="AN475" s="1979">
        <f>IF(Construction!$F$31=Construction!$R$22,Oeko!DA475,Oeko!FN475)</f>
        <v>6.0004663988172302</v>
      </c>
      <c r="AO475" s="1979">
        <f>IF(Construction!$F$31=Construction!$R$22,Oeko!DB475,Oeko!FO475)</f>
        <v>6.0717021254834549</v>
      </c>
      <c r="AP475" s="1979">
        <f>IF(Construction!$F$31=Construction!$R$22,Oeko!DC475,Oeko!FP475)</f>
        <v>6.1691810105712186</v>
      </c>
      <c r="AQ475" s="1979">
        <f>IF(Construction!$F$31=Construction!$R$22,Oeko!DD475,Oeko!FQ475)</f>
        <v>6.2666598956589805</v>
      </c>
      <c r="AR475" s="1998">
        <f>IF(Construction!$F$31=Construction!$R$22,Oeko!DE475,Oeko!FR475)</f>
        <v>75.138166933297228</v>
      </c>
      <c r="AS475" s="1998">
        <f>IF(Construction!$F$31=Construction!$R$22,Oeko!DF475,Oeko!FS475)</f>
        <v>76.315057747611903</v>
      </c>
      <c r="AT475" s="1998">
        <f>IF(Construction!$F$31=Construction!$R$22,Oeko!DG475,Oeko!FT475)</f>
        <v>77.39387432740034</v>
      </c>
      <c r="AU475" s="1998">
        <f>IF(Construction!$F$31=Construction!$R$22,Oeko!DH475,Oeko!FU475)</f>
        <v>78.570765141715029</v>
      </c>
      <c r="AV475" s="1998">
        <f>IF(Construction!$F$31=Construction!$R$22,Oeko!DI475,Oeko!FV475)</f>
        <v>81.414917942975492</v>
      </c>
      <c r="AW475" s="1979">
        <f>IF(Construction!$F$31=Construction!$R$22,Oeko!DJ475,Oeko!FW475)</f>
        <v>76.244666624870703</v>
      </c>
      <c r="AX475" s="1979">
        <f>IF(Construction!$F$31=Construction!$R$22,Oeko!DK475,Oeko!FX475)</f>
        <v>77.419224730607482</v>
      </c>
      <c r="AY475" s="1979">
        <f>IF(Construction!$F$31=Construction!$R$22,Oeko!DL475,Oeko!FY475)</f>
        <v>78.49590299419954</v>
      </c>
      <c r="AZ475" s="1979">
        <f>IF(Construction!$F$31=Construction!$R$22,Oeko!DM475,Oeko!FZ475)</f>
        <v>79.670461099936333</v>
      </c>
      <c r="BA475" s="1979">
        <f>IF(Construction!$F$31=Construction!$R$22,Oeko!DN475,Oeko!GA475)</f>
        <v>82.508976522133551</v>
      </c>
      <c r="BB475" s="1998">
        <f>IF(Construction!$F$31=Construction!$R$22,Oeko!DO475,Oeko!GB475)</f>
        <v>6.0395527499580997</v>
      </c>
      <c r="BC475" s="1998">
        <f>IF(Construction!$F$31=Construction!$R$22,Oeko!DP475,Oeko!GC475)</f>
        <v>6.3857604893066764</v>
      </c>
      <c r="BD475" s="1998">
        <f>IF(Construction!$F$31=Construction!$R$22,Oeko!DQ475,Oeko!GD475)</f>
        <v>6.7319682286552549</v>
      </c>
      <c r="BE475" s="1998">
        <f>IF(Construction!$F$31=Construction!$R$22,Oeko!DR475,Oeko!GE475)</f>
        <v>7.0781759680038334</v>
      </c>
      <c r="BF475" s="1998">
        <f>IF(Construction!$F$31=Construction!$R$22,Oeko!DS475,Oeko!GF475)</f>
        <v>7.4243837073524119</v>
      </c>
      <c r="BG475" s="1979">
        <f>IF(Construction!$F$31=Construction!$R$22,Oeko!DT475,Oeko!GG475)</f>
        <v>7.7330706833335077</v>
      </c>
      <c r="BH475" s="1979">
        <f>IF(Construction!$F$31=Construction!$R$22,Oeko!DU475,Oeko!GH475)</f>
        <v>8.0780035459792359</v>
      </c>
      <c r="BI475" s="1979">
        <f>IF(Construction!$F$31=Construction!$R$22,Oeko!DV475,Oeko!GI475)</f>
        <v>8.4229364086249667</v>
      </c>
      <c r="BJ475" s="1979">
        <f>IF(Construction!$F$31=Construction!$R$22,Oeko!DW475,Oeko!GJ475)</f>
        <v>8.7678692712706958</v>
      </c>
      <c r="BK475" s="2021">
        <f>IF(Construction!$F$31=Construction!$R$22,Oeko!DX475,Oeko!GK475)</f>
        <v>9.1128021339164249</v>
      </c>
      <c r="BN475" s="2022"/>
      <c r="BO475" s="2">
        <v>13</v>
      </c>
      <c r="BP475" s="2" t="str">
        <f>CONCATENATE($U$8," ",GV$7)</f>
        <v xml:space="preserve">Proportion de fenêtres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Proportion de fenêtres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Proportion de fenêtres </v>
      </c>
      <c r="D476" s="1998">
        <f>IF(Construction!$F$31=Construction!$R$22,Oeko!BQ476,Oeko!ED476)</f>
        <v>0</v>
      </c>
      <c r="E476" s="1998">
        <f>IF(Construction!$F$31=Construction!$R$22,Oeko!BR476,Oeko!EE476)</f>
        <v>0</v>
      </c>
      <c r="F476" s="1998">
        <f>IF(Construction!$F$31=Construction!$R$22,Oeko!BS476,Oeko!EF476)</f>
        <v>0</v>
      </c>
      <c r="G476" s="1998">
        <f>IF(Construction!$F$31=Construction!$R$22,Oeko!BT476,Oeko!EG476)</f>
        <v>0</v>
      </c>
      <c r="H476" s="1998">
        <f>IF(Construction!$F$31=Construction!$R$22,Oeko!BU476,Oeko!EH476)</f>
        <v>0</v>
      </c>
      <c r="I476" s="1979">
        <f>IF(Construction!$F$31=Construction!$R$22,Oeko!BV476,Oeko!EI476)</f>
        <v>0</v>
      </c>
      <c r="J476" s="1979">
        <f>IF(Construction!$F$31=Construction!$R$22,Oeko!BW476,Oeko!EJ476)</f>
        <v>0</v>
      </c>
      <c r="K476" s="1979">
        <f>IF(Construction!$F$31=Construction!$R$22,Oeko!BX476,Oeko!EK476)</f>
        <v>0</v>
      </c>
      <c r="L476" s="1979">
        <f>IF(Construction!$F$31=Construction!$R$22,Oeko!BY476,Oeko!EL476)</f>
        <v>0</v>
      </c>
      <c r="M476" s="1979">
        <f>IF(Construction!$F$31=Construction!$R$22,Oeko!BZ476,Oeko!EM476)</f>
        <v>0</v>
      </c>
      <c r="N476" s="1998">
        <f>IF(Construction!$F$31=Construction!$R$22,Oeko!CA476,Oeko!EN476)</f>
        <v>0</v>
      </c>
      <c r="O476" s="1998">
        <f>IF(Construction!$F$31=Construction!$R$22,Oeko!CB476,Oeko!EO476)</f>
        <v>0</v>
      </c>
      <c r="P476" s="1998">
        <f>IF(Construction!$F$31=Construction!$R$22,Oeko!CC476,Oeko!EP476)</f>
        <v>0</v>
      </c>
      <c r="Q476" s="1998">
        <f>IF(Construction!$F$31=Construction!$R$22,Oeko!CD476,Oeko!EQ476)</f>
        <v>0</v>
      </c>
      <c r="R476" s="1998">
        <f>IF(Construction!$F$31=Construction!$R$22,Oeko!CE476,Oeko!ER476)</f>
        <v>0</v>
      </c>
      <c r="S476" s="1979">
        <f>IF(Construction!$F$31=Construction!$R$22,Oeko!CF476,Oeko!ES476)</f>
        <v>0</v>
      </c>
      <c r="T476" s="1979">
        <f>IF(Construction!$F$31=Construction!$R$22,Oeko!CG476,Oeko!ET476)</f>
        <v>0</v>
      </c>
      <c r="U476" s="1979">
        <f>IF(Construction!$F$31=Construction!$R$22,Oeko!CH476,Oeko!EU476)</f>
        <v>0</v>
      </c>
      <c r="V476" s="1979">
        <f>IF(Construction!$F$31=Construction!$R$22,Oeko!CI476,Oeko!EV476)</f>
        <v>0</v>
      </c>
      <c r="W476" s="1979">
        <f>IF(Construction!$F$31=Construction!$R$22,Oeko!CJ476,Oeko!EW476)</f>
        <v>0</v>
      </c>
      <c r="X476" s="1998">
        <f>IF(Construction!$F$31=Construction!$R$22,Oeko!CK476,Oeko!EX476)</f>
        <v>6.5717911860101212</v>
      </c>
      <c r="Y476" s="1998">
        <f>IF(Construction!$F$31=Construction!$R$22,Oeko!CL476,Oeko!EY476)</f>
        <v>6.6595221825891073</v>
      </c>
      <c r="Z476" s="1998">
        <f>IF(Construction!$F$31=Construction!$R$22,Oeko!CM476,Oeko!EZ476)</f>
        <v>6.6741440153522733</v>
      </c>
      <c r="AA476" s="1998">
        <f>IF(Construction!$F$31=Construction!$R$22,Oeko!CN476,Oeko!FA476)</f>
        <v>6.6887658481154375</v>
      </c>
      <c r="AB476" s="1998">
        <f>IF(Construction!$F$31=Construction!$R$22,Oeko!CO476,Oeko!FB476)</f>
        <v>6.7155725415145726</v>
      </c>
      <c r="AC476" s="1979">
        <f>IF(Construction!$F$31=Construction!$R$22,Oeko!CP476,Oeko!FC476)</f>
        <v>0</v>
      </c>
      <c r="AD476" s="1979">
        <f>IF(Construction!$F$31=Construction!$R$22,Oeko!CQ476,Oeko!FD476)</f>
        <v>0</v>
      </c>
      <c r="AE476" s="1979">
        <f>IF(Construction!$F$31=Construction!$R$22,Oeko!CR476,Oeko!FE476)</f>
        <v>0</v>
      </c>
      <c r="AF476" s="1979">
        <f>IF(Construction!$F$31=Construction!$R$22,Oeko!CS476,Oeko!FF476)</f>
        <v>0</v>
      </c>
      <c r="AG476" s="1979">
        <f>IF(Construction!$F$31=Construction!$R$22,Oeko!CT476,Oeko!FG476)</f>
        <v>0</v>
      </c>
      <c r="AH476" s="1998">
        <f>IF(Construction!$F$31=Construction!$R$22,Oeko!CU476,Oeko!FH476)</f>
        <v>11.248519313715194</v>
      </c>
      <c r="AI476" s="1998">
        <f>IF(Construction!$F$31=Construction!$R$22,Oeko!CV476,Oeko!FI476)</f>
        <v>11.394737641346838</v>
      </c>
      <c r="AJ476" s="1998">
        <f>IF(Construction!$F$31=Construction!$R$22,Oeko!CW476,Oeko!FJ476)</f>
        <v>11.528771108342513</v>
      </c>
      <c r="AK476" s="1998">
        <f>IF(Construction!$F$31=Construction!$R$22,Oeko!CX476,Oeko!FK476)</f>
        <v>11.674989435974156</v>
      </c>
      <c r="AL476" s="1998">
        <f>IF(Construction!$F$31=Construction!$R$22,Oeko!CY476,Oeko!FL476)</f>
        <v>12.028350394417298</v>
      </c>
      <c r="AM476" s="1979">
        <f>IF(Construction!$F$31=Construction!$R$22,Oeko!CZ476,Oeko!FM476)</f>
        <v>21.812326015362672</v>
      </c>
      <c r="AN476" s="1979">
        <f>IF(Construction!$F$31=Construction!$R$22,Oeko!DA476,Oeko!FN476)</f>
        <v>5.8953001763206379</v>
      </c>
      <c r="AO476" s="1979">
        <f>IF(Construction!$F$31=Construction!$R$22,Oeko!DB476,Oeko!FO476)</f>
        <v>5.9675355707442206</v>
      </c>
      <c r="AP476" s="1979">
        <f>IF(Construction!$F$31=Construction!$R$22,Oeko!DC476,Oeko!FP476)</f>
        <v>6.0650144558319825</v>
      </c>
      <c r="AQ476" s="1979">
        <f>IF(Construction!$F$31=Construction!$R$22,Oeko!DD476,Oeko!FQ476)</f>
        <v>6.1624933409197453</v>
      </c>
      <c r="AR476" s="1998">
        <f>IF(Construction!$F$31=Construction!$R$22,Oeko!DE476,Oeko!FR476)</f>
        <v>73.629007348785692</v>
      </c>
      <c r="AS476" s="1998">
        <f>IF(Construction!$F$31=Construction!$R$22,Oeko!DF476,Oeko!FS476)</f>
        <v>74.805898163100366</v>
      </c>
      <c r="AT476" s="1998">
        <f>IF(Construction!$F$31=Construction!$R$22,Oeko!DG476,Oeko!FT476)</f>
        <v>75.884714742888818</v>
      </c>
      <c r="AU476" s="1998">
        <f>IF(Construction!$F$31=Construction!$R$22,Oeko!DH476,Oeko!FU476)</f>
        <v>77.061605557203507</v>
      </c>
      <c r="AV476" s="1998">
        <f>IF(Construction!$F$31=Construction!$R$22,Oeko!DI476,Oeko!FV476)</f>
        <v>79.90575835846397</v>
      </c>
      <c r="AW476" s="1979">
        <f>IF(Construction!$F$31=Construction!$R$22,Oeko!DJ476,Oeko!FW476)</f>
        <v>74.677022080324534</v>
      </c>
      <c r="AX476" s="1979">
        <f>IF(Construction!$F$31=Construction!$R$22,Oeko!DK476,Oeko!FX476)</f>
        <v>75.851580186061327</v>
      </c>
      <c r="AY476" s="1979">
        <f>IF(Construction!$F$31=Construction!$R$22,Oeko!DL476,Oeko!FY476)</f>
        <v>76.928258449653384</v>
      </c>
      <c r="AZ476" s="1979">
        <f>IF(Construction!$F$31=Construction!$R$22,Oeko!DM476,Oeko!FZ476)</f>
        <v>78.102816555390163</v>
      </c>
      <c r="BA476" s="1979">
        <f>IF(Construction!$F$31=Construction!$R$22,Oeko!DN476,Oeko!GA476)</f>
        <v>80.941331977587396</v>
      </c>
      <c r="BB476" s="1998">
        <f>IF(Construction!$F$31=Construction!$R$22,Oeko!DO476,Oeko!GB476)</f>
        <v>5.8654375344327772</v>
      </c>
      <c r="BC476" s="1998">
        <f>IF(Construction!$F$31=Construction!$R$22,Oeko!DP476,Oeko!GC476)</f>
        <v>6.2116452737813557</v>
      </c>
      <c r="BD476" s="1998">
        <f>IF(Construction!$F$31=Construction!$R$22,Oeko!DQ476,Oeko!GD476)</f>
        <v>6.5578530131299342</v>
      </c>
      <c r="BE476" s="1998">
        <f>IF(Construction!$F$31=Construction!$R$22,Oeko!DR476,Oeko!GE476)</f>
        <v>6.9040607524785127</v>
      </c>
      <c r="BF476" s="1998">
        <f>IF(Construction!$F$31=Construction!$R$22,Oeko!DS476,Oeko!GF476)</f>
        <v>7.2502684918270921</v>
      </c>
      <c r="BG476" s="1979">
        <f>IF(Construction!$F$31=Construction!$R$22,Oeko!DT476,Oeko!GG476)</f>
        <v>7.3996988075873764</v>
      </c>
      <c r="BH476" s="1979">
        <f>IF(Construction!$F$31=Construction!$R$22,Oeko!DU476,Oeko!GH476)</f>
        <v>7.7446316702331046</v>
      </c>
      <c r="BI476" s="1979">
        <f>IF(Construction!$F$31=Construction!$R$22,Oeko!DV476,Oeko!GI476)</f>
        <v>8.0895645328788355</v>
      </c>
      <c r="BJ476" s="1979">
        <f>IF(Construction!$F$31=Construction!$R$22,Oeko!DW476,Oeko!GJ476)</f>
        <v>8.4344973955245646</v>
      </c>
      <c r="BK476" s="2021">
        <f>IF(Construction!$F$31=Construction!$R$22,Oeko!DX476,Oeko!GK476)</f>
        <v>8.7794302581702937</v>
      </c>
      <c r="BN476" s="2022"/>
      <c r="BO476" s="2">
        <v>14</v>
      </c>
      <c r="BP476" s="2" t="str">
        <f>CONCATENATE($U$8," ",GV$8)</f>
        <v xml:space="preserve">Proportion de fenêtres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Proportion de fenêtres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Proportion de fenêtres </v>
      </c>
      <c r="D477" s="1998">
        <f>IF(Construction!$F$31=Construction!$R$22,Oeko!BQ477,Oeko!ED477)</f>
        <v>0</v>
      </c>
      <c r="E477" s="1998">
        <f>IF(Construction!$F$31=Construction!$R$22,Oeko!BR477,Oeko!EE477)</f>
        <v>0</v>
      </c>
      <c r="F477" s="1998">
        <f>IF(Construction!$F$31=Construction!$R$22,Oeko!BS477,Oeko!EF477)</f>
        <v>0</v>
      </c>
      <c r="G477" s="1998">
        <f>IF(Construction!$F$31=Construction!$R$22,Oeko!BT477,Oeko!EG477)</f>
        <v>0</v>
      </c>
      <c r="H477" s="1998">
        <f>IF(Construction!$F$31=Construction!$R$22,Oeko!BU477,Oeko!EH477)</f>
        <v>0</v>
      </c>
      <c r="I477" s="1979">
        <f>IF(Construction!$F$31=Construction!$R$22,Oeko!BV477,Oeko!EI477)</f>
        <v>0</v>
      </c>
      <c r="J477" s="1979">
        <f>IF(Construction!$F$31=Construction!$R$22,Oeko!BW477,Oeko!EJ477)</f>
        <v>0</v>
      </c>
      <c r="K477" s="1979">
        <f>IF(Construction!$F$31=Construction!$R$22,Oeko!BX477,Oeko!EK477)</f>
        <v>0</v>
      </c>
      <c r="L477" s="1979">
        <f>IF(Construction!$F$31=Construction!$R$22,Oeko!BY477,Oeko!EL477)</f>
        <v>0</v>
      </c>
      <c r="M477" s="1979">
        <f>IF(Construction!$F$31=Construction!$R$22,Oeko!BZ477,Oeko!EM477)</f>
        <v>0</v>
      </c>
      <c r="N477" s="1998">
        <f>IF(Construction!$F$31=Construction!$R$22,Oeko!CA477,Oeko!EN477)</f>
        <v>0</v>
      </c>
      <c r="O477" s="1998">
        <f>IF(Construction!$F$31=Construction!$R$22,Oeko!CB477,Oeko!EO477)</f>
        <v>0</v>
      </c>
      <c r="P477" s="1998">
        <f>IF(Construction!$F$31=Construction!$R$22,Oeko!CC477,Oeko!EP477)</f>
        <v>0</v>
      </c>
      <c r="Q477" s="1998">
        <f>IF(Construction!$F$31=Construction!$R$22,Oeko!CD477,Oeko!EQ477)</f>
        <v>0</v>
      </c>
      <c r="R477" s="1998">
        <f>IF(Construction!$F$31=Construction!$R$22,Oeko!CE477,Oeko!ER477)</f>
        <v>0</v>
      </c>
      <c r="S477" s="1979">
        <f>IF(Construction!$F$31=Construction!$R$22,Oeko!CF477,Oeko!ES477)</f>
        <v>0</v>
      </c>
      <c r="T477" s="1979">
        <f>IF(Construction!$F$31=Construction!$R$22,Oeko!CG477,Oeko!ET477)</f>
        <v>0</v>
      </c>
      <c r="U477" s="1979">
        <f>IF(Construction!$F$31=Construction!$R$22,Oeko!CH477,Oeko!EU477)</f>
        <v>0</v>
      </c>
      <c r="V477" s="1979">
        <f>IF(Construction!$F$31=Construction!$R$22,Oeko!CI477,Oeko!EV477)</f>
        <v>0</v>
      </c>
      <c r="W477" s="1979">
        <f>IF(Construction!$F$31=Construction!$R$22,Oeko!CJ477,Oeko!EW477)</f>
        <v>0</v>
      </c>
      <c r="X477" s="1998">
        <f>IF(Construction!$F$31=Construction!$R$22,Oeko!CK477,Oeko!EX477)</f>
        <v>6.3743424185778723</v>
      </c>
      <c r="Y477" s="1998">
        <f>IF(Construction!$F$31=Construction!$R$22,Oeko!CL477,Oeko!EY477)</f>
        <v>6.4620734151568602</v>
      </c>
      <c r="Z477" s="1998">
        <f>IF(Construction!$F$31=Construction!$R$22,Oeko!CM477,Oeko!EZ477)</f>
        <v>6.4766952479200244</v>
      </c>
      <c r="AA477" s="1998">
        <f>IF(Construction!$F$31=Construction!$R$22,Oeko!CN477,Oeko!FA477)</f>
        <v>6.4913170806831886</v>
      </c>
      <c r="AB477" s="1998">
        <f>IF(Construction!$F$31=Construction!$R$22,Oeko!CO477,Oeko!FB477)</f>
        <v>6.5181237740823228</v>
      </c>
      <c r="AC477" s="1979">
        <f>IF(Construction!$F$31=Construction!$R$22,Oeko!CP477,Oeko!FC477)</f>
        <v>0</v>
      </c>
      <c r="AD477" s="1979">
        <f>IF(Construction!$F$31=Construction!$R$22,Oeko!CQ477,Oeko!FD477)</f>
        <v>0</v>
      </c>
      <c r="AE477" s="1979">
        <f>IF(Construction!$F$31=Construction!$R$22,Oeko!CR477,Oeko!FE477)</f>
        <v>0</v>
      </c>
      <c r="AF477" s="1979">
        <f>IF(Construction!$F$31=Construction!$R$22,Oeko!CS477,Oeko!FF477)</f>
        <v>0</v>
      </c>
      <c r="AG477" s="1979">
        <f>IF(Construction!$F$31=Construction!$R$22,Oeko!CT477,Oeko!FG477)</f>
        <v>0</v>
      </c>
      <c r="AH477" s="1998">
        <f>IF(Construction!$F$31=Construction!$R$22,Oeko!CU477,Oeko!FH477)</f>
        <v>10.827601398646447</v>
      </c>
      <c r="AI477" s="1998">
        <f>IF(Construction!$F$31=Construction!$R$22,Oeko!CV477,Oeko!FI477)</f>
        <v>10.973819726278093</v>
      </c>
      <c r="AJ477" s="1998">
        <f>IF(Construction!$F$31=Construction!$R$22,Oeko!CW477,Oeko!FJ477)</f>
        <v>11.107853193273765</v>
      </c>
      <c r="AK477" s="1998">
        <f>IF(Construction!$F$31=Construction!$R$22,Oeko!CX477,Oeko!FK477)</f>
        <v>11.254071520905411</v>
      </c>
      <c r="AL477" s="1998">
        <f>IF(Construction!$F$31=Construction!$R$22,Oeko!CY477,Oeko!FL477)</f>
        <v>11.607432479348549</v>
      </c>
      <c r="AM477" s="1979">
        <f>IF(Construction!$F$31=Construction!$R$22,Oeko!CZ477,Oeko!FM477)</f>
        <v>19.92777037907388</v>
      </c>
      <c r="AN477" s="1979">
        <f>IF(Construction!$F$31=Construction!$R$22,Oeko!DA477,Oeko!FN477)</f>
        <v>5.7901339538240437</v>
      </c>
      <c r="AO477" s="1979">
        <f>IF(Construction!$F$31=Construction!$R$22,Oeko!DB477,Oeko!FO477)</f>
        <v>5.8633690160049845</v>
      </c>
      <c r="AP477" s="1979">
        <f>IF(Construction!$F$31=Construction!$R$22,Oeko!DC477,Oeko!FP477)</f>
        <v>5.9608479010927464</v>
      </c>
      <c r="AQ477" s="1979">
        <f>IF(Construction!$F$31=Construction!$R$22,Oeko!DD477,Oeko!FQ477)</f>
        <v>6.0583267861805101</v>
      </c>
      <c r="AR477" s="1998">
        <f>IF(Construction!$F$31=Construction!$R$22,Oeko!DE477,Oeko!FR477)</f>
        <v>72.119847764274155</v>
      </c>
      <c r="AS477" s="1998">
        <f>IF(Construction!$F$31=Construction!$R$22,Oeko!DF477,Oeko!FS477)</f>
        <v>73.29673857858883</v>
      </c>
      <c r="AT477" s="1998">
        <f>IF(Construction!$F$31=Construction!$R$22,Oeko!DG477,Oeko!FT477)</f>
        <v>74.375555158377296</v>
      </c>
      <c r="AU477" s="1998">
        <f>IF(Construction!$F$31=Construction!$R$22,Oeko!DH477,Oeko!FU477)</f>
        <v>75.552445972691984</v>
      </c>
      <c r="AV477" s="1998">
        <f>IF(Construction!$F$31=Construction!$R$22,Oeko!DI477,Oeko!FV477)</f>
        <v>78.396598773952448</v>
      </c>
      <c r="AW477" s="1979">
        <f>IF(Construction!$F$31=Construction!$R$22,Oeko!DJ477,Oeko!FW477)</f>
        <v>73.109377535778393</v>
      </c>
      <c r="AX477" s="1979">
        <f>IF(Construction!$F$31=Construction!$R$22,Oeko!DK477,Oeko!FX477)</f>
        <v>74.283935641515171</v>
      </c>
      <c r="AY477" s="1979">
        <f>IF(Construction!$F$31=Construction!$R$22,Oeko!DL477,Oeko!FY477)</f>
        <v>75.360613905107229</v>
      </c>
      <c r="AZ477" s="1979">
        <f>IF(Construction!$F$31=Construction!$R$22,Oeko!DM477,Oeko!FZ477)</f>
        <v>76.535172010844008</v>
      </c>
      <c r="BA477" s="1979">
        <f>IF(Construction!$F$31=Construction!$R$22,Oeko!DN477,Oeko!GA477)</f>
        <v>79.373687433041241</v>
      </c>
      <c r="BB477" s="1998">
        <f>IF(Construction!$F$31=Construction!$R$22,Oeko!DO477,Oeko!GB477)</f>
        <v>5.6913223189074573</v>
      </c>
      <c r="BC477" s="1998">
        <f>IF(Construction!$F$31=Construction!$R$22,Oeko!DP477,Oeko!GC477)</f>
        <v>6.0375300582560358</v>
      </c>
      <c r="BD477" s="1998">
        <f>IF(Construction!$F$31=Construction!$R$22,Oeko!DQ477,Oeko!GD477)</f>
        <v>6.3837377976046144</v>
      </c>
      <c r="BE477" s="1998">
        <f>IF(Construction!$F$31=Construction!$R$22,Oeko!DR477,Oeko!GE477)</f>
        <v>6.7299455369531929</v>
      </c>
      <c r="BF477" s="1998">
        <f>IF(Construction!$F$31=Construction!$R$22,Oeko!DS477,Oeko!GF477)</f>
        <v>7.0761532763017687</v>
      </c>
      <c r="BG477" s="1979">
        <f>IF(Construction!$F$31=Construction!$R$22,Oeko!DT477,Oeko!GG477)</f>
        <v>7.0663269318412443</v>
      </c>
      <c r="BH477" s="1979">
        <f>IF(Construction!$F$31=Construction!$R$22,Oeko!DU477,Oeko!GH477)</f>
        <v>7.4112597944869725</v>
      </c>
      <c r="BI477" s="1979">
        <f>IF(Construction!$F$31=Construction!$R$22,Oeko!DV477,Oeko!GI477)</f>
        <v>7.7561926571327033</v>
      </c>
      <c r="BJ477" s="1979">
        <f>IF(Construction!$F$31=Construction!$R$22,Oeko!DW477,Oeko!GJ477)</f>
        <v>8.1011255197784333</v>
      </c>
      <c r="BK477" s="2021">
        <f>IF(Construction!$F$31=Construction!$R$22,Oeko!DX477,Oeko!GK477)</f>
        <v>8.4460583824241606</v>
      </c>
      <c r="BN477" s="2022"/>
      <c r="BO477" s="2">
        <v>15</v>
      </c>
      <c r="BP477" s="2" t="str">
        <f>CONCATENATE($U$8," ",GV$9)</f>
        <v xml:space="preserve">Proportion de fenêtres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Proportion de fenêtres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Proportion de fenêtres </v>
      </c>
      <c r="D478" s="1998">
        <f>IF(Construction!$F$31=Construction!$R$22,Oeko!BQ478,Oeko!ED478)</f>
        <v>34.584209323866588</v>
      </c>
      <c r="E478" s="1998">
        <f>IF(Construction!$F$31=Construction!$R$22,Oeko!BR478,Oeko!EE478)</f>
        <v>6.2379551062038878</v>
      </c>
      <c r="F478" s="1998">
        <f>IF(Construction!$F$31=Construction!$R$22,Oeko!BS478,Oeko!EF478)</f>
        <v>6.2930605077037569</v>
      </c>
      <c r="G478" s="1998">
        <f>IF(Construction!$F$31=Construction!$R$22,Oeko!BT478,Oeko!EG478)</f>
        <v>6.3783545321555506</v>
      </c>
      <c r="H478" s="1998">
        <f>IF(Construction!$F$31=Construction!$R$22,Oeko!BU478,Oeko!EH478)</f>
        <v>6.4636485566073425</v>
      </c>
      <c r="I478" s="1979">
        <f>IF(Construction!$F$31=Construction!$R$22,Oeko!BV478,Oeko!EI478)</f>
        <v>54.62870185616773</v>
      </c>
      <c r="J478" s="1979">
        <f>IF(Construction!$F$31=Construction!$R$22,Oeko!BW478,Oeko!EJ478)</f>
        <v>9.2791681266124471</v>
      </c>
      <c r="K478" s="1979">
        <f>IF(Construction!$F$31=Construction!$R$22,Oeko!BX478,Oeko!EK478)</f>
        <v>9.3754570459942492</v>
      </c>
      <c r="L478" s="1979">
        <f>IF(Construction!$F$31=Construction!$R$22,Oeko!BY478,Oeko!EL478)</f>
        <v>9.5216753736258948</v>
      </c>
      <c r="M478" s="1979">
        <f>IF(Construction!$F$31=Construction!$R$22,Oeko!BZ478,Oeko!EM478)</f>
        <v>9.6678937012575403</v>
      </c>
      <c r="N478" s="1998">
        <f>IF(Construction!$F$31=Construction!$R$22,Oeko!CA478,Oeko!EN478)</f>
        <v>6.2486222460826966</v>
      </c>
      <c r="O478" s="1998">
        <f>IF(Construction!$F$31=Construction!$R$22,Oeko!CB478,Oeko!EO478)</f>
        <v>6.3321755761579217</v>
      </c>
      <c r="P478" s="1998">
        <f>IF(Construction!$F$31=Construction!$R$22,Oeko!CC478,Oeko!EP478)</f>
        <v>6.3426197424173258</v>
      </c>
      <c r="Q478" s="1998">
        <f>IF(Construction!$F$31=Construction!$R$22,Oeko!CD478,Oeko!EQ478)</f>
        <v>6.3530639086767282</v>
      </c>
      <c r="R478" s="1998">
        <f>IF(Construction!$F$31=Construction!$R$22,Oeko!CE478,Oeko!ER478)</f>
        <v>6.3722115468189671</v>
      </c>
      <c r="S478" s="1979">
        <f>IF(Construction!$F$31=Construction!$R$22,Oeko!CF478,Oeko!ES478)</f>
        <v>9.0838502819990783</v>
      </c>
      <c r="T478" s="1979">
        <f>IF(Construction!$F$31=Construction!$R$22,Oeko!CG478,Oeko!ET478)</f>
        <v>9.1935140277228129</v>
      </c>
      <c r="U478" s="1979">
        <f>IF(Construction!$F$31=Construction!$R$22,Oeko!CH478,Oeko!EU478)</f>
        <v>9.2300686096307238</v>
      </c>
      <c r="V478" s="1979">
        <f>IF(Construction!$F$31=Construction!$R$22,Oeko!CI478,Oeko!EV478)</f>
        <v>9.266623191538633</v>
      </c>
      <c r="W478" s="1979">
        <f>IF(Construction!$F$31=Construction!$R$22,Oeko!CJ478,Oeko!EW478)</f>
        <v>9.3336399250364703</v>
      </c>
      <c r="X478" s="1998">
        <f>IF(Construction!$F$31=Construction!$R$22,Oeko!CK478,Oeko!EX478)</f>
        <v>6.1768936511456243</v>
      </c>
      <c r="Y478" s="1998">
        <f>IF(Construction!$F$31=Construction!$R$22,Oeko!CL478,Oeko!EY478)</f>
        <v>6.2646246477246113</v>
      </c>
      <c r="Z478" s="1998">
        <f>IF(Construction!$F$31=Construction!$R$22,Oeko!CM478,Oeko!EZ478)</f>
        <v>6.2792464804877763</v>
      </c>
      <c r="AA478" s="1998">
        <f>IF(Construction!$F$31=Construction!$R$22,Oeko!CN478,Oeko!FA478)</f>
        <v>6.2938683132509405</v>
      </c>
      <c r="AB478" s="1998">
        <f>IF(Construction!$F$31=Construction!$R$22,Oeko!CO478,Oeko!FB478)</f>
        <v>6.3206750066500756</v>
      </c>
      <c r="AC478" s="1979">
        <f>IF(Construction!$F$31=Construction!$R$22,Oeko!CP478,Oeko!FC478)</f>
        <v>4.9962114293016446</v>
      </c>
      <c r="AD478" s="1979">
        <f>IF(Construction!$F$31=Construction!$R$22,Oeko!CQ478,Oeko!FD478)</f>
        <v>5.0693205931174674</v>
      </c>
      <c r="AE478" s="1979">
        <f>IF(Construction!$F$31=Construction!$R$22,Oeko!CR478,Oeko!FE478)</f>
        <v>5.1424297569332893</v>
      </c>
      <c r="AF478" s="1979">
        <f>IF(Construction!$F$31=Construction!$R$22,Oeko!CS478,Oeko!FF478)</f>
        <v>5.2155389207491112</v>
      </c>
      <c r="AG478" s="1979">
        <f>IF(Construction!$F$31=Construction!$R$22,Oeko!CT478,Oeko!FG478)</f>
        <v>5.3495723877447849</v>
      </c>
      <c r="AH478" s="1998">
        <f>IF(Construction!$F$31=Construction!$R$22,Oeko!CU478,Oeko!FH478)</f>
        <v>10.406683483577702</v>
      </c>
      <c r="AI478" s="1998">
        <f>IF(Construction!$F$31=Construction!$R$22,Oeko!CV478,Oeko!FI478)</f>
        <v>10.552901811209345</v>
      </c>
      <c r="AJ478" s="1998">
        <f>IF(Construction!$F$31=Construction!$R$22,Oeko!CW478,Oeko!FJ478)</f>
        <v>10.686935278205018</v>
      </c>
      <c r="AK478" s="1998">
        <f>IF(Construction!$F$31=Construction!$R$22,Oeko!CX478,Oeko!FK478)</f>
        <v>10.833153605836662</v>
      </c>
      <c r="AL478" s="1998">
        <f>IF(Construction!$F$31=Construction!$R$22,Oeko!CY478,Oeko!FL478)</f>
        <v>11.186514564279804</v>
      </c>
      <c r="AM478" s="1979">
        <f>IF(Construction!$F$31=Construction!$R$22,Oeko!CZ478,Oeko!FM478)</f>
        <v>18.043214742785089</v>
      </c>
      <c r="AN478" s="1979">
        <f>IF(Construction!$F$31=Construction!$R$22,Oeko!DA478,Oeko!FN478)</f>
        <v>5.6849677313274523</v>
      </c>
      <c r="AO478" s="1979">
        <f>IF(Construction!$F$31=Construction!$R$22,Oeko!DB478,Oeko!FO478)</f>
        <v>5.7592024612657484</v>
      </c>
      <c r="AP478" s="1979">
        <f>IF(Construction!$F$31=Construction!$R$22,Oeko!DC478,Oeko!FP478)</f>
        <v>5.8566813463535121</v>
      </c>
      <c r="AQ478" s="1979">
        <f>IF(Construction!$F$31=Construction!$R$22,Oeko!DD478,Oeko!FQ478)</f>
        <v>5.9541602314412758</v>
      </c>
      <c r="AR478" s="1998">
        <f>IF(Construction!$F$31=Construction!$R$22,Oeko!DE478,Oeko!FR478)</f>
        <v>70.610688179762619</v>
      </c>
      <c r="AS478" s="1998">
        <f>IF(Construction!$F$31=Construction!$R$22,Oeko!DF478,Oeko!FS478)</f>
        <v>71.787578994077293</v>
      </c>
      <c r="AT478" s="1998">
        <f>IF(Construction!$F$31=Construction!$R$22,Oeko!DG478,Oeko!FT478)</f>
        <v>72.866395573865759</v>
      </c>
      <c r="AU478" s="1998">
        <f>IF(Construction!$F$31=Construction!$R$22,Oeko!DH478,Oeko!FU478)</f>
        <v>74.043286388180448</v>
      </c>
      <c r="AV478" s="1998">
        <f>IF(Construction!$F$31=Construction!$R$22,Oeko!DI478,Oeko!FV478)</f>
        <v>76.887439189440911</v>
      </c>
      <c r="AW478" s="1979">
        <f>IF(Construction!$F$31=Construction!$R$22,Oeko!DJ478,Oeko!FW478)</f>
        <v>71.541732991232237</v>
      </c>
      <c r="AX478" s="1979">
        <f>IF(Construction!$F$31=Construction!$R$22,Oeko!DK478,Oeko!FX478)</f>
        <v>72.716291096969016</v>
      </c>
      <c r="AY478" s="1979">
        <f>IF(Construction!$F$31=Construction!$R$22,Oeko!DL478,Oeko!FY478)</f>
        <v>73.792969360561074</v>
      </c>
      <c r="AZ478" s="1979">
        <f>IF(Construction!$F$31=Construction!$R$22,Oeko!DM478,Oeko!FZ478)</f>
        <v>74.967527466297852</v>
      </c>
      <c r="BA478" s="1979">
        <f>IF(Construction!$F$31=Construction!$R$22,Oeko!DN478,Oeko!GA478)</f>
        <v>77.806042888495099</v>
      </c>
      <c r="BB478" s="1998">
        <f>IF(Construction!$F$31=Construction!$R$22,Oeko!DO478,Oeko!GB478)</f>
        <v>5.5172071033821366</v>
      </c>
      <c r="BC478" s="1998">
        <f>IF(Construction!$F$31=Construction!$R$22,Oeko!DP478,Oeko!GC478)</f>
        <v>5.8634148427307142</v>
      </c>
      <c r="BD478" s="1998">
        <f>IF(Construction!$F$31=Construction!$R$22,Oeko!DQ478,Oeko!GD478)</f>
        <v>6.2096225820792919</v>
      </c>
      <c r="BE478" s="1998">
        <f>IF(Construction!$F$31=Construction!$R$22,Oeko!DR478,Oeko!GE478)</f>
        <v>6.5558303214278721</v>
      </c>
      <c r="BF478" s="1998">
        <f>IF(Construction!$F$31=Construction!$R$22,Oeko!DS478,Oeko!GF478)</f>
        <v>6.902038060776448</v>
      </c>
      <c r="BG478" s="1979">
        <f>IF(Construction!$F$31=Construction!$R$22,Oeko!DT478,Oeko!GG478)</f>
        <v>6.7329550560951121</v>
      </c>
      <c r="BH478" s="1979">
        <f>IF(Construction!$F$31=Construction!$R$22,Oeko!DU478,Oeko!GH478)</f>
        <v>7.0778879187408403</v>
      </c>
      <c r="BI478" s="1979">
        <f>IF(Construction!$F$31=Construction!$R$22,Oeko!DV478,Oeko!GI478)</f>
        <v>7.4228207813865712</v>
      </c>
      <c r="BJ478" s="1979">
        <f>IF(Construction!$F$31=Construction!$R$22,Oeko!DW478,Oeko!GJ478)</f>
        <v>7.7677536440323003</v>
      </c>
      <c r="BK478" s="2021">
        <f>IF(Construction!$F$31=Construction!$R$22,Oeko!DX478,Oeko!GK478)</f>
        <v>8.1126865066780294</v>
      </c>
      <c r="BN478" s="2022"/>
      <c r="BO478" s="2">
        <v>16</v>
      </c>
      <c r="BP478" s="2" t="str">
        <f>CONCATENATE($U$8," ",GV$10)</f>
        <v xml:space="preserve">Proportion de fenêtres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Proportion de fenêtres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Proportion de fenêtres </v>
      </c>
      <c r="D479" s="1998">
        <f>IF(Construction!$F$31=Construction!$R$22,Oeko!BQ479,Oeko!ED479)</f>
        <v>30.282506241033477</v>
      </c>
      <c r="E479" s="1998">
        <f>IF(Construction!$F$31=Construction!$R$22,Oeko!BR479,Oeko!EE479)</f>
        <v>5.9979017722442727</v>
      </c>
      <c r="F479" s="1998">
        <f>IF(Construction!$F$31=Construction!$R$22,Oeko!BS479,Oeko!EF479)</f>
        <v>6.0552890240598511</v>
      </c>
      <c r="G479" s="1998">
        <f>IF(Construction!$F$31=Construction!$R$22,Oeko!BT479,Oeko!EG479)</f>
        <v>6.140583048511643</v>
      </c>
      <c r="H479" s="1998">
        <f>IF(Construction!$F$31=Construction!$R$22,Oeko!BU479,Oeko!EH479)</f>
        <v>6.2258770729634367</v>
      </c>
      <c r="I479" s="1979">
        <f>IF(Construction!$F$31=Construction!$R$22,Oeko!BV479,Oeko!EI479)</f>
        <v>47.745178834008996</v>
      </c>
      <c r="J479" s="1979">
        <f>IF(Construction!$F$31=Construction!$R$22,Oeko!BW479,Oeko!EJ479)</f>
        <v>8.8950382554804097</v>
      </c>
      <c r="K479" s="1979">
        <f>IF(Construction!$F$31=Construction!$R$22,Oeko!BX479,Oeko!EK479)</f>
        <v>8.9949785587161983</v>
      </c>
      <c r="L479" s="1979">
        <f>IF(Construction!$F$31=Construction!$R$22,Oeko!BY479,Oeko!EL479)</f>
        <v>9.1411968863478439</v>
      </c>
      <c r="M479" s="1979">
        <f>IF(Construction!$F$31=Construction!$R$22,Oeko!BZ479,Oeko!EM479)</f>
        <v>9.2874152139794877</v>
      </c>
      <c r="N479" s="1998">
        <f>IF(Construction!$F$31=Construction!$R$22,Oeko!CA479,Oeko!EN479)</f>
        <v>6.0209439192955108</v>
      </c>
      <c r="O479" s="1998">
        <f>IF(Construction!$F$31=Construction!$R$22,Oeko!CB479,Oeko!EO479)</f>
        <v>6.1044972493707359</v>
      </c>
      <c r="P479" s="1998">
        <f>IF(Construction!$F$31=Construction!$R$22,Oeko!CC479,Oeko!EP479)</f>
        <v>6.1149414156301392</v>
      </c>
      <c r="Q479" s="1998">
        <f>IF(Construction!$F$31=Construction!$R$22,Oeko!CD479,Oeko!EQ479)</f>
        <v>6.1253855818895415</v>
      </c>
      <c r="R479" s="1998">
        <f>IF(Construction!$F$31=Construction!$R$22,Oeko!CE479,Oeko!ER479)</f>
        <v>6.1445332200317822</v>
      </c>
      <c r="S479" s="1979">
        <f>IF(Construction!$F$31=Construction!$R$22,Oeko!CF479,Oeko!ES479)</f>
        <v>8.5927793810855402</v>
      </c>
      <c r="T479" s="1979">
        <f>IF(Construction!$F$31=Construction!$R$22,Oeko!CG479,Oeko!ET479)</f>
        <v>8.702443126809273</v>
      </c>
      <c r="U479" s="1979">
        <f>IF(Construction!$F$31=Construction!$R$22,Oeko!CH479,Oeko!EU479)</f>
        <v>8.738997708717184</v>
      </c>
      <c r="V479" s="1979">
        <f>IF(Construction!$F$31=Construction!$R$22,Oeko!CI479,Oeko!EV479)</f>
        <v>8.7755522906250949</v>
      </c>
      <c r="W479" s="1979">
        <f>IF(Construction!$F$31=Construction!$R$22,Oeko!CJ479,Oeko!EW479)</f>
        <v>8.8425690241229322</v>
      </c>
      <c r="X479" s="1998">
        <f>IF(Construction!$F$31=Construction!$R$22,Oeko!CK479,Oeko!EX479)</f>
        <v>5.9794448837133762</v>
      </c>
      <c r="Y479" s="1998">
        <f>IF(Construction!$F$31=Construction!$R$22,Oeko!CL479,Oeko!EY479)</f>
        <v>6.0671758802923623</v>
      </c>
      <c r="Z479" s="1998">
        <f>IF(Construction!$F$31=Construction!$R$22,Oeko!CM479,Oeko!EZ479)</f>
        <v>6.0817977130555274</v>
      </c>
      <c r="AA479" s="1998">
        <f>IF(Construction!$F$31=Construction!$R$22,Oeko!CN479,Oeko!FA479)</f>
        <v>6.0964195458186916</v>
      </c>
      <c r="AB479" s="1998">
        <f>IF(Construction!$F$31=Construction!$R$22,Oeko!CO479,Oeko!FB479)</f>
        <v>6.1232262392178267</v>
      </c>
      <c r="AC479" s="1979">
        <f>IF(Construction!$F$31=Construction!$R$22,Oeko!CP479,Oeko!FC479)</f>
        <v>4.7852741559546921</v>
      </c>
      <c r="AD479" s="1979">
        <f>IF(Construction!$F$31=Construction!$R$22,Oeko!CQ479,Oeko!FD479)</f>
        <v>4.858383319770514</v>
      </c>
      <c r="AE479" s="1979">
        <f>IF(Construction!$F$31=Construction!$R$22,Oeko!CR479,Oeko!FE479)</f>
        <v>4.9314924835863359</v>
      </c>
      <c r="AF479" s="1979">
        <f>IF(Construction!$F$31=Construction!$R$22,Oeko!CS479,Oeko!FF479)</f>
        <v>5.0046016474021586</v>
      </c>
      <c r="AG479" s="1979">
        <f>IF(Construction!$F$31=Construction!$R$22,Oeko!CT479,Oeko!FG479)</f>
        <v>5.1386351143978342</v>
      </c>
      <c r="AH479" s="1998">
        <f>IF(Construction!$F$31=Construction!$R$22,Oeko!CU479,Oeko!FH479)</f>
        <v>9.9857655685089544</v>
      </c>
      <c r="AI479" s="1998">
        <f>IF(Construction!$F$31=Construction!$R$22,Oeko!CV479,Oeko!FI479)</f>
        <v>10.131983896140598</v>
      </c>
      <c r="AJ479" s="1998">
        <f>IF(Construction!$F$31=Construction!$R$22,Oeko!CW479,Oeko!FJ479)</f>
        <v>10.266017363136271</v>
      </c>
      <c r="AK479" s="1998">
        <f>IF(Construction!$F$31=Construction!$R$22,Oeko!CX479,Oeko!FK479)</f>
        <v>10.412235690767917</v>
      </c>
      <c r="AL479" s="1998">
        <f>IF(Construction!$F$31=Construction!$R$22,Oeko!CY479,Oeko!FL479)</f>
        <v>10.765596649211055</v>
      </c>
      <c r="AM479" s="1979">
        <f>IF(Construction!$F$31=Construction!$R$22,Oeko!CZ479,Oeko!FM479)</f>
        <v>16.158659106496298</v>
      </c>
      <c r="AN479" s="1979">
        <f>IF(Construction!$F$31=Construction!$R$22,Oeko!DA479,Oeko!FN479)</f>
        <v>5.5798015088308581</v>
      </c>
      <c r="AO479" s="1979">
        <f>IF(Construction!$F$31=Construction!$R$22,Oeko!DB479,Oeko!FO479)</f>
        <v>5.6550359065265123</v>
      </c>
      <c r="AP479" s="1979">
        <f>IF(Construction!$F$31=Construction!$R$22,Oeko!DC479,Oeko!FP479)</f>
        <v>5.752514791614276</v>
      </c>
      <c r="AQ479" s="1979">
        <f>IF(Construction!$F$31=Construction!$R$22,Oeko!DD479,Oeko!FQ479)</f>
        <v>5.8499936767020397</v>
      </c>
      <c r="AR479" s="1998">
        <f>IF(Construction!$F$31=Construction!$R$22,Oeko!DE479,Oeko!FR479)</f>
        <v>69.101528595251082</v>
      </c>
      <c r="AS479" s="1998">
        <f>IF(Construction!$F$31=Construction!$R$22,Oeko!DF479,Oeko!FS479)</f>
        <v>70.278419409565757</v>
      </c>
      <c r="AT479" s="1998">
        <f>IF(Construction!$F$31=Construction!$R$22,Oeko!DG479,Oeko!FT479)</f>
        <v>71.357235989354223</v>
      </c>
      <c r="AU479" s="1998">
        <f>IF(Construction!$F$31=Construction!$R$22,Oeko!DH479,Oeko!FU479)</f>
        <v>72.534126803668912</v>
      </c>
      <c r="AV479" s="1998">
        <f>IF(Construction!$F$31=Construction!$R$22,Oeko!DI479,Oeko!FV479)</f>
        <v>75.378279604929375</v>
      </c>
      <c r="AW479" s="1979">
        <f>IF(Construction!$F$31=Construction!$R$22,Oeko!DJ479,Oeko!FW479)</f>
        <v>69.974088446686082</v>
      </c>
      <c r="AX479" s="1979">
        <f>IF(Construction!$F$31=Construction!$R$22,Oeko!DK479,Oeko!FX479)</f>
        <v>71.148646552422861</v>
      </c>
      <c r="AY479" s="1979">
        <f>IF(Construction!$F$31=Construction!$R$22,Oeko!DL479,Oeko!FY479)</f>
        <v>72.225324816014918</v>
      </c>
      <c r="AZ479" s="1979">
        <f>IF(Construction!$F$31=Construction!$R$22,Oeko!DM479,Oeko!FZ479)</f>
        <v>73.399882921751697</v>
      </c>
      <c r="BA479" s="1979">
        <f>IF(Construction!$F$31=Construction!$R$22,Oeko!DN479,Oeko!GA479)</f>
        <v>76.23839834394893</v>
      </c>
      <c r="BB479" s="1998">
        <f>IF(Construction!$F$31=Construction!$R$22,Oeko!DO479,Oeko!GB479)</f>
        <v>5.3430918878568141</v>
      </c>
      <c r="BC479" s="1998">
        <f>IF(Construction!$F$31=Construction!$R$22,Oeko!DP479,Oeko!GC479)</f>
        <v>5.6892996272053917</v>
      </c>
      <c r="BD479" s="1998">
        <f>IF(Construction!$F$31=Construction!$R$22,Oeko!DQ479,Oeko!GD479)</f>
        <v>6.0355073665539702</v>
      </c>
      <c r="BE479" s="1998">
        <f>IF(Construction!$F$31=Construction!$R$22,Oeko!DR479,Oeko!GE479)</f>
        <v>6.3817151059025496</v>
      </c>
      <c r="BF479" s="1998">
        <f>IF(Construction!$F$31=Construction!$R$22,Oeko!DS479,Oeko!GF479)</f>
        <v>6.7279228452511282</v>
      </c>
      <c r="BG479" s="1979">
        <f>IF(Construction!$F$31=Construction!$R$22,Oeko!DT479,Oeko!GG479)</f>
        <v>6.3995831803489809</v>
      </c>
      <c r="BH479" s="1979">
        <f>IF(Construction!$F$31=Construction!$R$22,Oeko!DU479,Oeko!GH479)</f>
        <v>6.7445160429947091</v>
      </c>
      <c r="BI479" s="1979">
        <f>IF(Construction!$F$31=Construction!$R$22,Oeko!DV479,Oeko!GI479)</f>
        <v>7.0894489056404391</v>
      </c>
      <c r="BJ479" s="1979">
        <f>IF(Construction!$F$31=Construction!$R$22,Oeko!DW479,Oeko!GJ479)</f>
        <v>7.4343817682861681</v>
      </c>
      <c r="BK479" s="2021">
        <f>IF(Construction!$F$31=Construction!$R$22,Oeko!DX479,Oeko!GK479)</f>
        <v>7.7793146309318972</v>
      </c>
      <c r="BN479" s="2022"/>
      <c r="BO479" s="2">
        <v>17</v>
      </c>
      <c r="BP479" s="2" t="str">
        <f>CONCATENATE($U$8," ",GV$11)</f>
        <v xml:space="preserve">Proportion de fenêtres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Proportion de fenêtres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Proportion de fenêtres </v>
      </c>
      <c r="D480" s="1998">
        <f>IF(Construction!$F$31=Construction!$R$22,Oeko!BQ480,Oeko!ED480)</f>
        <v>25.980803158200363</v>
      </c>
      <c r="E480" s="1998">
        <f>IF(Construction!$F$31=Construction!$R$22,Oeko!BR480,Oeko!EE480)</f>
        <v>5.7578484382846575</v>
      </c>
      <c r="F480" s="1998">
        <f>IF(Construction!$F$31=Construction!$R$22,Oeko!BS480,Oeko!EF480)</f>
        <v>5.8175175404159436</v>
      </c>
      <c r="G480" s="1998">
        <f>IF(Construction!$F$31=Construction!$R$22,Oeko!BT480,Oeko!EG480)</f>
        <v>5.9028115648677373</v>
      </c>
      <c r="H480" s="1998">
        <f>IF(Construction!$F$31=Construction!$R$22,Oeko!BU480,Oeko!EH480)</f>
        <v>5.9881055893195301</v>
      </c>
      <c r="I480" s="1979">
        <f>IF(Construction!$F$31=Construction!$R$22,Oeko!BV480,Oeko!EI480)</f>
        <v>40.861655811850248</v>
      </c>
      <c r="J480" s="1979">
        <f>IF(Construction!$F$31=Construction!$R$22,Oeko!BW480,Oeko!EJ480)</f>
        <v>8.5109083843483706</v>
      </c>
      <c r="K480" s="1979">
        <f>IF(Construction!$F$31=Construction!$R$22,Oeko!BX480,Oeko!EK480)</f>
        <v>8.6145000714381474</v>
      </c>
      <c r="L480" s="1979">
        <f>IF(Construction!$F$31=Construction!$R$22,Oeko!BY480,Oeko!EL480)</f>
        <v>8.760718399069793</v>
      </c>
      <c r="M480" s="1979">
        <f>IF(Construction!$F$31=Construction!$R$22,Oeko!BZ480,Oeko!EM480)</f>
        <v>8.9069367267014385</v>
      </c>
      <c r="N480" s="1998">
        <f>IF(Construction!$F$31=Construction!$R$22,Oeko!CA480,Oeko!EN480)</f>
        <v>5.7932655925083241</v>
      </c>
      <c r="O480" s="1998">
        <f>IF(Construction!$F$31=Construction!$R$22,Oeko!CB480,Oeko!EO480)</f>
        <v>5.8768189225835501</v>
      </c>
      <c r="P480" s="1998">
        <f>IF(Construction!$F$31=Construction!$R$22,Oeko!CC480,Oeko!EP480)</f>
        <v>5.8872630888429525</v>
      </c>
      <c r="Q480" s="1998">
        <f>IF(Construction!$F$31=Construction!$R$22,Oeko!CD480,Oeko!EQ480)</f>
        <v>5.8977072551023557</v>
      </c>
      <c r="R480" s="1998">
        <f>IF(Construction!$F$31=Construction!$R$22,Oeko!CE480,Oeko!ER480)</f>
        <v>5.9168548932445955</v>
      </c>
      <c r="S480" s="1979">
        <f>IF(Construction!$F$31=Construction!$R$22,Oeko!CF480,Oeko!ES480)</f>
        <v>8.1017084801720021</v>
      </c>
      <c r="T480" s="1979">
        <f>IF(Construction!$F$31=Construction!$R$22,Oeko!CG480,Oeko!ET480)</f>
        <v>8.2113722258957349</v>
      </c>
      <c r="U480" s="1979">
        <f>IF(Construction!$F$31=Construction!$R$22,Oeko!CH480,Oeko!EU480)</f>
        <v>8.2479268078036458</v>
      </c>
      <c r="V480" s="1979">
        <f>IF(Construction!$F$31=Construction!$R$22,Oeko!CI480,Oeko!EV480)</f>
        <v>8.2844813897115586</v>
      </c>
      <c r="W480" s="1979">
        <f>IF(Construction!$F$31=Construction!$R$22,Oeko!CJ480,Oeko!EW480)</f>
        <v>8.3514981232093941</v>
      </c>
      <c r="X480" s="1998">
        <f>IF(Construction!$F$31=Construction!$R$22,Oeko!CK480,Oeko!EX480)</f>
        <v>5.7819961162811264</v>
      </c>
      <c r="Y480" s="1998">
        <f>IF(Construction!$F$31=Construction!$R$22,Oeko!CL480,Oeko!EY480)</f>
        <v>5.8697271128601143</v>
      </c>
      <c r="Z480" s="1998">
        <f>IF(Construction!$F$31=Construction!$R$22,Oeko!CM480,Oeko!EZ480)</f>
        <v>5.8843489456232794</v>
      </c>
      <c r="AA480" s="1998">
        <f>IF(Construction!$F$31=Construction!$R$22,Oeko!CN480,Oeko!FA480)</f>
        <v>5.8989707783864436</v>
      </c>
      <c r="AB480" s="1998">
        <f>IF(Construction!$F$31=Construction!$R$22,Oeko!CO480,Oeko!FB480)</f>
        <v>5.9257774717855778</v>
      </c>
      <c r="AC480" s="1979">
        <f>IF(Construction!$F$31=Construction!$R$22,Oeko!CP480,Oeko!FC480)</f>
        <v>4.5743368826077413</v>
      </c>
      <c r="AD480" s="1979">
        <f>IF(Construction!$F$31=Construction!$R$22,Oeko!CQ480,Oeko!FD480)</f>
        <v>4.6474460464235632</v>
      </c>
      <c r="AE480" s="1979">
        <f>IF(Construction!$F$31=Construction!$R$22,Oeko!CR480,Oeko!FE480)</f>
        <v>4.7205552102393851</v>
      </c>
      <c r="AF480" s="1979">
        <f>IF(Construction!$F$31=Construction!$R$22,Oeko!CS480,Oeko!FF480)</f>
        <v>4.793664374055207</v>
      </c>
      <c r="AG480" s="1979">
        <f>IF(Construction!$F$31=Construction!$R$22,Oeko!CT480,Oeko!FG480)</f>
        <v>4.9276978410508807</v>
      </c>
      <c r="AH480" s="1998">
        <f>IF(Construction!$F$31=Construction!$R$22,Oeko!CU480,Oeko!FH480)</f>
        <v>9.5648476534402072</v>
      </c>
      <c r="AI480" s="1998">
        <f>IF(Construction!$F$31=Construction!$R$22,Oeko!CV480,Oeko!FI480)</f>
        <v>9.7110659810718527</v>
      </c>
      <c r="AJ480" s="1998">
        <f>IF(Construction!$F$31=Construction!$R$22,Oeko!CW480,Oeko!FJ480)</f>
        <v>9.8450994480675256</v>
      </c>
      <c r="AK480" s="1998">
        <f>IF(Construction!$F$31=Construction!$R$22,Oeko!CX480,Oeko!FK480)</f>
        <v>9.9913177756991693</v>
      </c>
      <c r="AL480" s="1998">
        <f>IF(Construction!$F$31=Construction!$R$22,Oeko!CY480,Oeko!FL480)</f>
        <v>10.34467873414231</v>
      </c>
      <c r="AM480" s="1979">
        <f>IF(Construction!$F$31=Construction!$R$22,Oeko!CZ480,Oeko!FM480)</f>
        <v>14.274103470207503</v>
      </c>
      <c r="AN480" s="1979">
        <f>IF(Construction!$F$31=Construction!$R$22,Oeko!DA480,Oeko!FN480)</f>
        <v>5.4746352863342649</v>
      </c>
      <c r="AO480" s="1979">
        <f>IF(Construction!$F$31=Construction!$R$22,Oeko!DB480,Oeko!FO480)</f>
        <v>5.550869351787278</v>
      </c>
      <c r="AP480" s="1979">
        <f>IF(Construction!$F$31=Construction!$R$22,Oeko!DC480,Oeko!FP480)</f>
        <v>5.6483482368750417</v>
      </c>
      <c r="AQ480" s="1979">
        <f>IF(Construction!$F$31=Construction!$R$22,Oeko!DD480,Oeko!FQ480)</f>
        <v>5.7458271219628045</v>
      </c>
      <c r="AR480" s="1998">
        <f>IF(Construction!$F$31=Construction!$R$22,Oeko!DE480,Oeko!FR480)</f>
        <v>67.59236901073956</v>
      </c>
      <c r="AS480" s="1998">
        <f>IF(Construction!$F$31=Construction!$R$22,Oeko!DF480,Oeko!FS480)</f>
        <v>68.769259825054235</v>
      </c>
      <c r="AT480" s="1998">
        <f>IF(Construction!$F$31=Construction!$R$22,Oeko!DG480,Oeko!FT480)</f>
        <v>69.848076404842686</v>
      </c>
      <c r="AU480" s="1998">
        <f>IF(Construction!$F$31=Construction!$R$22,Oeko!DH480,Oeko!FU480)</f>
        <v>71.024967219157361</v>
      </c>
      <c r="AV480" s="1998">
        <f>IF(Construction!$F$31=Construction!$R$22,Oeko!DI480,Oeko!FV480)</f>
        <v>73.869120020417824</v>
      </c>
      <c r="AW480" s="1979">
        <f>IF(Construction!$F$31=Construction!$R$22,Oeko!DJ480,Oeko!FW480)</f>
        <v>68.406443902139927</v>
      </c>
      <c r="AX480" s="1979">
        <f>IF(Construction!$F$31=Construction!$R$22,Oeko!DK480,Oeko!FX480)</f>
        <v>69.581002007876705</v>
      </c>
      <c r="AY480" s="1979">
        <f>IF(Construction!$F$31=Construction!$R$22,Oeko!DL480,Oeko!FY480)</f>
        <v>70.657680271468763</v>
      </c>
      <c r="AZ480" s="1979">
        <f>IF(Construction!$F$31=Construction!$R$22,Oeko!DM480,Oeko!FZ480)</f>
        <v>71.832238377205542</v>
      </c>
      <c r="BA480" s="1979">
        <f>IF(Construction!$F$31=Construction!$R$22,Oeko!DN480,Oeko!GA480)</f>
        <v>74.670753799402775</v>
      </c>
      <c r="BB480" s="1998">
        <f>IF(Construction!$F$31=Construction!$R$22,Oeko!DO480,Oeko!GB480)</f>
        <v>5.1689766723314934</v>
      </c>
      <c r="BC480" s="1998">
        <f>IF(Construction!$F$31=Construction!$R$22,Oeko!DP480,Oeko!GC480)</f>
        <v>5.5151844116800719</v>
      </c>
      <c r="BD480" s="1998">
        <f>IF(Construction!$F$31=Construction!$R$22,Oeko!DQ480,Oeko!GD480)</f>
        <v>5.8613921510286504</v>
      </c>
      <c r="BE480" s="1998">
        <f>IF(Construction!$F$31=Construction!$R$22,Oeko!DR480,Oeko!GE480)</f>
        <v>6.2075998903772289</v>
      </c>
      <c r="BF480" s="1998">
        <f>IF(Construction!$F$31=Construction!$R$22,Oeko!DS480,Oeko!GF480)</f>
        <v>6.5538076297258074</v>
      </c>
      <c r="BG480" s="1979">
        <f>IF(Construction!$F$31=Construction!$R$22,Oeko!DT480,Oeko!GG480)</f>
        <v>6.066211304602847</v>
      </c>
      <c r="BH480" s="1979">
        <f>IF(Construction!$F$31=Construction!$R$22,Oeko!DU480,Oeko!GH480)</f>
        <v>6.4111441672485769</v>
      </c>
      <c r="BI480" s="1979">
        <f>IF(Construction!$F$31=Construction!$R$22,Oeko!DV480,Oeko!GI480)</f>
        <v>6.756077029894306</v>
      </c>
      <c r="BJ480" s="1979">
        <f>IF(Construction!$F$31=Construction!$R$22,Oeko!DW480,Oeko!GJ480)</f>
        <v>7.101009892540036</v>
      </c>
      <c r="BK480" s="2021">
        <f>IF(Construction!$F$31=Construction!$R$22,Oeko!DX480,Oeko!GK480)</f>
        <v>7.4459427551857651</v>
      </c>
      <c r="BN480" s="2022"/>
      <c r="BO480" s="2">
        <v>18</v>
      </c>
      <c r="BP480" s="2" t="str">
        <f>CONCATENATE($U$8," ",GV$12)</f>
        <v xml:space="preserve">Proportion de fenêtres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Proportion de fenêtres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Proportion de fenêtres </v>
      </c>
      <c r="D481" s="1998">
        <f>IF(Construction!$F$31=Construction!$R$22,Oeko!BQ481,Oeko!ED481)</f>
        <v>21.679100075367252</v>
      </c>
      <c r="E481" s="1998">
        <f>IF(Construction!$F$31=Construction!$R$22,Oeko!BR481,Oeko!EE481)</f>
        <v>5.5177951043250433</v>
      </c>
      <c r="F481" s="1998">
        <f>IF(Construction!$F$31=Construction!$R$22,Oeko!BS481,Oeko!EF481)</f>
        <v>5.5797460567720378</v>
      </c>
      <c r="G481" s="1998">
        <f>IF(Construction!$F$31=Construction!$R$22,Oeko!BT481,Oeko!EG481)</f>
        <v>5.6650400812238297</v>
      </c>
      <c r="H481" s="1998">
        <f>IF(Construction!$F$31=Construction!$R$22,Oeko!BU481,Oeko!EH481)</f>
        <v>5.7503341056756234</v>
      </c>
      <c r="I481" s="1979">
        <f>IF(Construction!$F$31=Construction!$R$22,Oeko!BV481,Oeko!EI481)</f>
        <v>33.978132789691514</v>
      </c>
      <c r="J481" s="1979">
        <f>IF(Construction!$F$31=Construction!$R$22,Oeko!BW481,Oeko!EJ481)</f>
        <v>8.1267785132163368</v>
      </c>
      <c r="K481" s="1979">
        <f>IF(Construction!$F$31=Construction!$R$22,Oeko!BX481,Oeko!EK481)</f>
        <v>8.2340215841600966</v>
      </c>
      <c r="L481" s="1979">
        <f>IF(Construction!$F$31=Construction!$R$22,Oeko!BY481,Oeko!EL481)</f>
        <v>8.3802399117917421</v>
      </c>
      <c r="M481" s="1979">
        <f>IF(Construction!$F$31=Construction!$R$22,Oeko!BZ481,Oeko!EM481)</f>
        <v>8.5264582394233841</v>
      </c>
      <c r="N481" s="1998">
        <f>IF(Construction!$F$31=Construction!$R$22,Oeko!CA481,Oeko!EN481)</f>
        <v>5.5655872657211383</v>
      </c>
      <c r="O481" s="1998">
        <f>IF(Construction!$F$31=Construction!$R$22,Oeko!CB481,Oeko!EO481)</f>
        <v>5.6491405957963643</v>
      </c>
      <c r="P481" s="1998">
        <f>IF(Construction!$F$31=Construction!$R$22,Oeko!CC481,Oeko!EP481)</f>
        <v>5.6595847620557667</v>
      </c>
      <c r="Q481" s="1998">
        <f>IF(Construction!$F$31=Construction!$R$22,Oeko!CD481,Oeko!EQ481)</f>
        <v>5.6700289283151708</v>
      </c>
      <c r="R481" s="1998">
        <f>IF(Construction!$F$31=Construction!$R$22,Oeko!CE481,Oeko!ER481)</f>
        <v>5.6891765664574097</v>
      </c>
      <c r="S481" s="1979">
        <f>IF(Construction!$F$31=Construction!$R$22,Oeko!CF481,Oeko!ES481)</f>
        <v>7.610637579258464</v>
      </c>
      <c r="T481" s="1979">
        <f>IF(Construction!$F$31=Construction!$R$22,Oeko!CG481,Oeko!ET481)</f>
        <v>7.7203013249821968</v>
      </c>
      <c r="U481" s="1979">
        <f>IF(Construction!$F$31=Construction!$R$22,Oeko!CH481,Oeko!EU481)</f>
        <v>7.7568559068901086</v>
      </c>
      <c r="V481" s="1979">
        <f>IF(Construction!$F$31=Construction!$R$22,Oeko!CI481,Oeko!EV481)</f>
        <v>7.7934104887980205</v>
      </c>
      <c r="W481" s="1979">
        <f>IF(Construction!$F$31=Construction!$R$22,Oeko!CJ481,Oeko!EW481)</f>
        <v>7.8604272222958569</v>
      </c>
      <c r="X481" s="1998">
        <f>IF(Construction!$F$31=Construction!$R$22,Oeko!CK481,Oeko!EX481)</f>
        <v>5.5845473488488784</v>
      </c>
      <c r="Y481" s="1998">
        <f>IF(Construction!$F$31=Construction!$R$22,Oeko!CL481,Oeko!EY481)</f>
        <v>5.6722783454278654</v>
      </c>
      <c r="Z481" s="1998">
        <f>IF(Construction!$F$31=Construction!$R$22,Oeko!CM481,Oeko!EZ481)</f>
        <v>5.6869001781910296</v>
      </c>
      <c r="AA481" s="1998">
        <f>IF(Construction!$F$31=Construction!$R$22,Oeko!CN481,Oeko!FA481)</f>
        <v>5.7015220109541946</v>
      </c>
      <c r="AB481" s="1998">
        <f>IF(Construction!$F$31=Construction!$R$22,Oeko!CO481,Oeko!FB481)</f>
        <v>5.7283287043533289</v>
      </c>
      <c r="AC481" s="1979">
        <f>IF(Construction!$F$31=Construction!$R$22,Oeko!CP481,Oeko!FC481)</f>
        <v>4.3633996092607896</v>
      </c>
      <c r="AD481" s="1979">
        <f>IF(Construction!$F$31=Construction!$R$22,Oeko!CQ481,Oeko!FD481)</f>
        <v>4.4365087730766124</v>
      </c>
      <c r="AE481" s="1979">
        <f>IF(Construction!$F$31=Construction!$R$22,Oeko!CR481,Oeko!FE481)</f>
        <v>4.5096179368924343</v>
      </c>
      <c r="AF481" s="1979">
        <f>IF(Construction!$F$31=Construction!$R$22,Oeko!CS481,Oeko!FF481)</f>
        <v>4.5827271007082562</v>
      </c>
      <c r="AG481" s="1979">
        <f>IF(Construction!$F$31=Construction!$R$22,Oeko!CT481,Oeko!FG481)</f>
        <v>4.7167605677039299</v>
      </c>
      <c r="AH481" s="1998">
        <f>IF(Construction!$F$31=Construction!$R$22,Oeko!CU481,Oeko!FH481)</f>
        <v>9.1439297383714617</v>
      </c>
      <c r="AI481" s="1998">
        <f>IF(Construction!$F$31=Construction!$R$22,Oeko!CV481,Oeko!FI481)</f>
        <v>9.2901480660031037</v>
      </c>
      <c r="AJ481" s="1998">
        <f>IF(Construction!$F$31=Construction!$R$22,Oeko!CW481,Oeko!FJ481)</f>
        <v>9.4241815329987784</v>
      </c>
      <c r="AK481" s="1998">
        <f>IF(Construction!$F$31=Construction!$R$22,Oeko!CX481,Oeko!FK481)</f>
        <v>9.5703998606304239</v>
      </c>
      <c r="AL481" s="1998">
        <f>IF(Construction!$F$31=Construction!$R$22,Oeko!CY481,Oeko!FL481)</f>
        <v>9.9237608190735624</v>
      </c>
      <c r="AM481" s="1979">
        <f>IF(Construction!$F$31=Construction!$R$22,Oeko!CZ481,Oeko!FM481)</f>
        <v>12.38954783391871</v>
      </c>
      <c r="AN481" s="1979">
        <f>IF(Construction!$F$31=Construction!$R$22,Oeko!DA481,Oeko!FN481)</f>
        <v>5.3694690638376725</v>
      </c>
      <c r="AO481" s="1979">
        <f>IF(Construction!$F$31=Construction!$R$22,Oeko!DB481,Oeko!FO481)</f>
        <v>5.4467027970480437</v>
      </c>
      <c r="AP481" s="1979">
        <f>IF(Construction!$F$31=Construction!$R$22,Oeko!DC481,Oeko!FP481)</f>
        <v>5.5441816821358056</v>
      </c>
      <c r="AQ481" s="1979">
        <f>IF(Construction!$F$31=Construction!$R$22,Oeko!DD481,Oeko!FQ481)</f>
        <v>5.6416605672235685</v>
      </c>
      <c r="AR481" s="1998">
        <f>IF(Construction!$F$31=Construction!$R$22,Oeko!DE481,Oeko!FR481)</f>
        <v>66.083209426228024</v>
      </c>
      <c r="AS481" s="1998">
        <f>IF(Construction!$F$31=Construction!$R$22,Oeko!DF481,Oeko!FS481)</f>
        <v>67.260100240542712</v>
      </c>
      <c r="AT481" s="1998">
        <f>IF(Construction!$F$31=Construction!$R$22,Oeko!DG481,Oeko!FT481)</f>
        <v>68.338916820331164</v>
      </c>
      <c r="AU481" s="1998">
        <f>IF(Construction!$F$31=Construction!$R$22,Oeko!DH481,Oeko!FU481)</f>
        <v>69.515807634645839</v>
      </c>
      <c r="AV481" s="1998">
        <f>IF(Construction!$F$31=Construction!$R$22,Oeko!DI481,Oeko!FV481)</f>
        <v>72.359960435906288</v>
      </c>
      <c r="AW481" s="1979">
        <f>IF(Construction!$F$31=Construction!$R$22,Oeko!DJ481,Oeko!FW481)</f>
        <v>66.838799357593771</v>
      </c>
      <c r="AX481" s="1979">
        <f>IF(Construction!$F$31=Construction!$R$22,Oeko!DK481,Oeko!FX481)</f>
        <v>68.013357463330536</v>
      </c>
      <c r="AY481" s="1979">
        <f>IF(Construction!$F$31=Construction!$R$22,Oeko!DL481,Oeko!FY481)</f>
        <v>69.090035726922608</v>
      </c>
      <c r="AZ481" s="1979">
        <f>IF(Construction!$F$31=Construction!$R$22,Oeko!DM481,Oeko!FZ481)</f>
        <v>70.264593832659386</v>
      </c>
      <c r="BA481" s="1979">
        <f>IF(Construction!$F$31=Construction!$R$22,Oeko!DN481,Oeko!GA481)</f>
        <v>73.103109254856619</v>
      </c>
      <c r="BB481" s="1998">
        <f>IF(Construction!$F$31=Construction!$R$22,Oeko!DO481,Oeko!GB481)</f>
        <v>4.9948614568061727</v>
      </c>
      <c r="BC481" s="1998">
        <f>IF(Construction!$F$31=Construction!$R$22,Oeko!DP481,Oeko!GC481)</f>
        <v>5.3410691961547494</v>
      </c>
      <c r="BD481" s="1998">
        <f>IF(Construction!$F$31=Construction!$R$22,Oeko!DQ481,Oeko!GD481)</f>
        <v>5.6872769355033297</v>
      </c>
      <c r="BE481" s="1998">
        <f>IF(Construction!$F$31=Construction!$R$22,Oeko!DR481,Oeko!GE481)</f>
        <v>6.0334846748519082</v>
      </c>
      <c r="BF481" s="1998">
        <f>IF(Construction!$F$31=Construction!$R$22,Oeko!DS481,Oeko!GF481)</f>
        <v>6.3796924142004867</v>
      </c>
      <c r="BG481" s="1979">
        <f>IF(Construction!$F$31=Construction!$R$22,Oeko!DT481,Oeko!GG481)</f>
        <v>5.7328394288567148</v>
      </c>
      <c r="BH481" s="1979">
        <f>IF(Construction!$F$31=Construction!$R$22,Oeko!DU481,Oeko!GH481)</f>
        <v>6.0777722915024448</v>
      </c>
      <c r="BI481" s="1979">
        <f>IF(Construction!$F$31=Construction!$R$22,Oeko!DV481,Oeko!GI481)</f>
        <v>6.4227051541481739</v>
      </c>
      <c r="BJ481" s="1979">
        <f>IF(Construction!$F$31=Construction!$R$22,Oeko!DW481,Oeko!GJ481)</f>
        <v>6.7676380167939039</v>
      </c>
      <c r="BK481" s="2021">
        <f>IF(Construction!$F$31=Construction!$R$22,Oeko!DX481,Oeko!GK481)</f>
        <v>7.1125708794396338</v>
      </c>
      <c r="BN481" s="2022"/>
      <c r="BO481" s="2">
        <v>19</v>
      </c>
      <c r="BP481" s="2" t="str">
        <f>CONCATENATE($U$8," ",GV$13)</f>
        <v xml:space="preserve">Proportion de fenêtres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Proportion de fenêtres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Proportion de fenêtres </v>
      </c>
      <c r="D482" s="1998">
        <f>IF(Construction!$F$31=Construction!$R$22,Oeko!BQ482,Oeko!ED482)</f>
        <v>17.377396992534131</v>
      </c>
      <c r="E482" s="1998">
        <f>IF(Construction!$F$31=Construction!$R$22,Oeko!BR482,Oeko!EE482)</f>
        <v>5.2777417703654272</v>
      </c>
      <c r="F482" s="1998">
        <f>IF(Construction!$F$31=Construction!$R$22,Oeko!BS482,Oeko!EF482)</f>
        <v>5.3419745731281303</v>
      </c>
      <c r="G482" s="1998">
        <f>IF(Construction!$F$31=Construction!$R$22,Oeko!BT482,Oeko!EG482)</f>
        <v>5.427268597579924</v>
      </c>
      <c r="H482" s="1998">
        <f>IF(Construction!$F$31=Construction!$R$22,Oeko!BU482,Oeko!EH482)</f>
        <v>5.5125626220317168</v>
      </c>
      <c r="I482" s="1979">
        <f>IF(Construction!$F$31=Construction!$R$22,Oeko!BV482,Oeko!EI482)</f>
        <v>27.094609767532774</v>
      </c>
      <c r="J482" s="1979">
        <f>IF(Construction!$F$31=Construction!$R$22,Oeko!BW482,Oeko!EJ482)</f>
        <v>7.7426486420842977</v>
      </c>
      <c r="K482" s="1979">
        <f>IF(Construction!$F$31=Construction!$R$22,Oeko!BX482,Oeko!EK482)</f>
        <v>7.8535430968820465</v>
      </c>
      <c r="L482" s="1979">
        <f>IF(Construction!$F$31=Construction!$R$22,Oeko!BY482,Oeko!EL482)</f>
        <v>7.9997614245136903</v>
      </c>
      <c r="M482" s="1979">
        <f>IF(Construction!$F$31=Construction!$R$22,Oeko!BZ482,Oeko!EM482)</f>
        <v>8.145979752145335</v>
      </c>
      <c r="N482" s="1998">
        <f>IF(Construction!$F$31=Construction!$R$22,Oeko!CA482,Oeko!EN482)</f>
        <v>5.3379089389339516</v>
      </c>
      <c r="O482" s="1998">
        <f>IF(Construction!$F$31=Construction!$R$22,Oeko!CB482,Oeko!EO482)</f>
        <v>5.4214622690091776</v>
      </c>
      <c r="P482" s="1998">
        <f>IF(Construction!$F$31=Construction!$R$22,Oeko!CC482,Oeko!EP482)</f>
        <v>5.4319064352685817</v>
      </c>
      <c r="Q482" s="1998">
        <f>IF(Construction!$F$31=Construction!$R$22,Oeko!CD482,Oeko!EQ482)</f>
        <v>5.4423506015279841</v>
      </c>
      <c r="R482" s="1998">
        <f>IF(Construction!$F$31=Construction!$R$22,Oeko!CE482,Oeko!ER482)</f>
        <v>5.461498239670223</v>
      </c>
      <c r="S482" s="1979">
        <f>IF(Construction!$F$31=Construction!$R$22,Oeko!CF482,Oeko!ES482)</f>
        <v>7.1195666783449258</v>
      </c>
      <c r="T482" s="1979">
        <f>IF(Construction!$F$31=Construction!$R$22,Oeko!CG482,Oeko!ET482)</f>
        <v>7.2292304240686587</v>
      </c>
      <c r="U482" s="1979">
        <f>IF(Construction!$F$31=Construction!$R$22,Oeko!CH482,Oeko!EU482)</f>
        <v>7.2657850059765705</v>
      </c>
      <c r="V482" s="1979">
        <f>IF(Construction!$F$31=Construction!$R$22,Oeko!CI482,Oeko!EV482)</f>
        <v>7.3023395878844823</v>
      </c>
      <c r="W482" s="1979">
        <f>IF(Construction!$F$31=Construction!$R$22,Oeko!CJ482,Oeko!EW482)</f>
        <v>7.3693563213823188</v>
      </c>
      <c r="X482" s="1998">
        <f>IF(Construction!$F$31=Construction!$R$22,Oeko!CK482,Oeko!EX482)</f>
        <v>5.3870985814166295</v>
      </c>
      <c r="Y482" s="1998">
        <f>IF(Construction!$F$31=Construction!$R$22,Oeko!CL482,Oeko!EY482)</f>
        <v>5.4748295779956182</v>
      </c>
      <c r="Z482" s="1998">
        <f>IF(Construction!$F$31=Construction!$R$22,Oeko!CM482,Oeko!EZ482)</f>
        <v>5.4894514107587824</v>
      </c>
      <c r="AA482" s="1998">
        <f>IF(Construction!$F$31=Construction!$R$22,Oeko!CN482,Oeko!FA482)</f>
        <v>5.5040732435219457</v>
      </c>
      <c r="AB482" s="1998">
        <f>IF(Construction!$F$31=Construction!$R$22,Oeko!CO482,Oeko!FB482)</f>
        <v>5.5308799369210808</v>
      </c>
      <c r="AC482" s="1979">
        <f>IF(Construction!$F$31=Construction!$R$22,Oeko!CP482,Oeko!FC482)</f>
        <v>4.1524623359138371</v>
      </c>
      <c r="AD482" s="1979">
        <f>IF(Construction!$F$31=Construction!$R$22,Oeko!CQ482,Oeko!FD482)</f>
        <v>4.2255714997296598</v>
      </c>
      <c r="AE482" s="1979">
        <f>IF(Construction!$F$31=Construction!$R$22,Oeko!CR482,Oeko!FE482)</f>
        <v>4.2986806635454817</v>
      </c>
      <c r="AF482" s="1979">
        <f>IF(Construction!$F$31=Construction!$R$22,Oeko!CS482,Oeko!FF482)</f>
        <v>4.3717898273613045</v>
      </c>
      <c r="AG482" s="1979">
        <f>IF(Construction!$F$31=Construction!$R$22,Oeko!CT482,Oeko!FG482)</f>
        <v>4.5058232943569791</v>
      </c>
      <c r="AH482" s="1998">
        <f>IF(Construction!$F$31=Construction!$R$22,Oeko!CU482,Oeko!FH482)</f>
        <v>8.7230118233027127</v>
      </c>
      <c r="AI482" s="1998">
        <f>IF(Construction!$F$31=Construction!$R$22,Oeko!CV482,Oeko!FI482)</f>
        <v>8.8692301509343583</v>
      </c>
      <c r="AJ482" s="1998">
        <f>IF(Construction!$F$31=Construction!$R$22,Oeko!CW482,Oeko!FJ482)</f>
        <v>9.0032636179300329</v>
      </c>
      <c r="AK482" s="1998">
        <f>IF(Construction!$F$31=Construction!$R$22,Oeko!CX482,Oeko!FK482)</f>
        <v>9.1494819455616767</v>
      </c>
      <c r="AL482" s="1998">
        <f>IF(Construction!$F$31=Construction!$R$22,Oeko!CY482,Oeko!FL482)</f>
        <v>9.502842904004817</v>
      </c>
      <c r="AM482" s="1979">
        <f>IF(Construction!$F$31=Construction!$R$22,Oeko!CZ482,Oeko!FM482)</f>
        <v>10.504992197629917</v>
      </c>
      <c r="AN482" s="1979">
        <f>IF(Construction!$F$31=Construction!$R$22,Oeko!DA482,Oeko!FN482)</f>
        <v>5.2643028413410784</v>
      </c>
      <c r="AO482" s="1979">
        <f>IF(Construction!$F$31=Construction!$R$22,Oeko!DB482,Oeko!FO482)</f>
        <v>5.3425362423088076</v>
      </c>
      <c r="AP482" s="1979">
        <f>IF(Construction!$F$31=Construction!$R$22,Oeko!DC482,Oeko!FP482)</f>
        <v>5.4400151273965704</v>
      </c>
      <c r="AQ482" s="1979">
        <f>IF(Construction!$F$31=Construction!$R$22,Oeko!DD482,Oeko!FQ482)</f>
        <v>5.5374940124843341</v>
      </c>
      <c r="AR482" s="1998">
        <f>IF(Construction!$F$31=Construction!$R$22,Oeko!DE482,Oeko!FR482)</f>
        <v>64.574049841716501</v>
      </c>
      <c r="AS482" s="1998">
        <f>IF(Construction!$F$31=Construction!$R$22,Oeko!DF482,Oeko!FS482)</f>
        <v>65.750940656031176</v>
      </c>
      <c r="AT482" s="1998">
        <f>IF(Construction!$F$31=Construction!$R$22,Oeko!DG482,Oeko!FT482)</f>
        <v>66.829757235819628</v>
      </c>
      <c r="AU482" s="1998">
        <f>IF(Construction!$F$31=Construction!$R$22,Oeko!DH482,Oeko!FU482)</f>
        <v>68.006648050134302</v>
      </c>
      <c r="AV482" s="1998">
        <f>IF(Construction!$F$31=Construction!$R$22,Oeko!DI482,Oeko!FV482)</f>
        <v>70.850800851394766</v>
      </c>
      <c r="AW482" s="1979">
        <f>IF(Construction!$F$31=Construction!$R$22,Oeko!DJ482,Oeko!FW482)</f>
        <v>65.271154813047616</v>
      </c>
      <c r="AX482" s="1979">
        <f>IF(Construction!$F$31=Construction!$R$22,Oeko!DK482,Oeko!FX482)</f>
        <v>66.44571291878438</v>
      </c>
      <c r="AY482" s="1979">
        <f>IF(Construction!$F$31=Construction!$R$22,Oeko!DL482,Oeko!FY482)</f>
        <v>67.522391182376452</v>
      </c>
      <c r="AZ482" s="1979">
        <f>IF(Construction!$F$31=Construction!$R$22,Oeko!DM482,Oeko!FZ482)</f>
        <v>68.696949288113245</v>
      </c>
      <c r="BA482" s="1979">
        <f>IF(Construction!$F$31=Construction!$R$22,Oeko!DN482,Oeko!GA482)</f>
        <v>71.53546471031045</v>
      </c>
      <c r="BB482" s="1998">
        <f>IF(Construction!$F$31=Construction!$R$22,Oeko!DO482,Oeko!GB482)</f>
        <v>4.8207462412808511</v>
      </c>
      <c r="BC482" s="1998">
        <f>IF(Construction!$F$31=Construction!$R$22,Oeko!DP482,Oeko!GC482)</f>
        <v>5.1669539806294287</v>
      </c>
      <c r="BD482" s="1998">
        <f>IF(Construction!$F$31=Construction!$R$22,Oeko!DQ482,Oeko!GD482)</f>
        <v>5.513161719978009</v>
      </c>
      <c r="BE482" s="1998">
        <f>IF(Construction!$F$31=Construction!$R$22,Oeko!DR482,Oeko!GE482)</f>
        <v>5.8593694593265875</v>
      </c>
      <c r="BF482" s="1998">
        <f>IF(Construction!$F$31=Construction!$R$22,Oeko!DS482,Oeko!GF482)</f>
        <v>6.2055771986751651</v>
      </c>
      <c r="BG482" s="1979">
        <f>IF(Construction!$F$31=Construction!$R$22,Oeko!DT482,Oeko!GG482)</f>
        <v>5.3994675531105827</v>
      </c>
      <c r="BH482" s="1979">
        <f>IF(Construction!$F$31=Construction!$R$22,Oeko!DU482,Oeko!GH482)</f>
        <v>5.7444004157563127</v>
      </c>
      <c r="BI482" s="1979">
        <f>IF(Construction!$F$31=Construction!$R$22,Oeko!DV482,Oeko!GI482)</f>
        <v>6.0893332784020417</v>
      </c>
      <c r="BJ482" s="1979">
        <f>IF(Construction!$F$31=Construction!$R$22,Oeko!DW482,Oeko!GJ482)</f>
        <v>6.4342661410477717</v>
      </c>
      <c r="BK482" s="2021">
        <f>IF(Construction!$F$31=Construction!$R$22,Oeko!DX482,Oeko!GK482)</f>
        <v>6.7791990036935008</v>
      </c>
      <c r="BN482" s="2022"/>
      <c r="BO482" s="2">
        <v>20</v>
      </c>
      <c r="BP482" s="2" t="str">
        <f>CONCATENATE($U$8," ",GV$14)</f>
        <v xml:space="preserve">Proportion de fenêtres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Proportion de fenêtres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Proportion de fenêtres </v>
      </c>
      <c r="D483" s="1998">
        <f>IF(Construction!$F$31=Construction!$R$22,Oeko!BQ483,Oeko!ED483)</f>
        <v>13.07569390970102</v>
      </c>
      <c r="E483" s="1998">
        <f>IF(Construction!$F$31=Construction!$R$22,Oeko!BR483,Oeko!EE483)</f>
        <v>5.0376884364058139</v>
      </c>
      <c r="F483" s="1998">
        <f>IF(Construction!$F$31=Construction!$R$22,Oeko!BS483,Oeko!EF483)</f>
        <v>5.1042030894842245</v>
      </c>
      <c r="G483" s="1998">
        <f>IF(Construction!$F$31=Construction!$R$22,Oeko!BT483,Oeko!EG483)</f>
        <v>5.1894971139360164</v>
      </c>
      <c r="H483" s="1998">
        <f>IF(Construction!$F$31=Construction!$R$22,Oeko!BU483,Oeko!EH483)</f>
        <v>5.2747911383878083</v>
      </c>
      <c r="I483" s="1979">
        <f>IF(Construction!$F$31=Construction!$R$22,Oeko!BV483,Oeko!EI483)</f>
        <v>20.211086745374029</v>
      </c>
      <c r="J483" s="1979">
        <f>IF(Construction!$F$31=Construction!$R$22,Oeko!BW483,Oeko!EJ483)</f>
        <v>7.3585187709522613</v>
      </c>
      <c r="K483" s="1979">
        <f>IF(Construction!$F$31=Construction!$R$22,Oeko!BX483,Oeko!EK483)</f>
        <v>7.473064609603993</v>
      </c>
      <c r="L483" s="1979">
        <f>IF(Construction!$F$31=Construction!$R$22,Oeko!BY483,Oeko!EL483)</f>
        <v>7.6192829372356385</v>
      </c>
      <c r="M483" s="1979">
        <f>IF(Construction!$F$31=Construction!$R$22,Oeko!BZ483,Oeko!EM483)</f>
        <v>7.7655012648672823</v>
      </c>
      <c r="N483" s="1998">
        <f>IF(Construction!$F$31=Construction!$R$22,Oeko!CA483,Oeko!EN483)</f>
        <v>5.1102306121467675</v>
      </c>
      <c r="O483" s="1998">
        <f>IF(Construction!$F$31=Construction!$R$22,Oeko!CB483,Oeko!EO483)</f>
        <v>5.1937839422219927</v>
      </c>
      <c r="P483" s="1998">
        <f>IF(Construction!$F$31=Construction!$R$22,Oeko!CC483,Oeko!EP483)</f>
        <v>5.2042281084813951</v>
      </c>
      <c r="Q483" s="1998">
        <f>IF(Construction!$F$31=Construction!$R$22,Oeko!CD483,Oeko!EQ483)</f>
        <v>5.2146722747407983</v>
      </c>
      <c r="R483" s="1998">
        <f>IF(Construction!$F$31=Construction!$R$22,Oeko!CE483,Oeko!ER483)</f>
        <v>5.2338199128830372</v>
      </c>
      <c r="S483" s="1979">
        <f>IF(Construction!$F$31=Construction!$R$22,Oeko!CF483,Oeko!ES483)</f>
        <v>6.6284957774313877</v>
      </c>
      <c r="T483" s="1979">
        <f>IF(Construction!$F$31=Construction!$R$22,Oeko!CG483,Oeko!ET483)</f>
        <v>6.7381595231551215</v>
      </c>
      <c r="U483" s="1979">
        <f>IF(Construction!$F$31=Construction!$R$22,Oeko!CH483,Oeko!EU483)</f>
        <v>6.7747141050630324</v>
      </c>
      <c r="V483" s="1979">
        <f>IF(Construction!$F$31=Construction!$R$22,Oeko!CI483,Oeko!EV483)</f>
        <v>6.8112686869709425</v>
      </c>
      <c r="W483" s="1979">
        <f>IF(Construction!$F$31=Construction!$R$22,Oeko!CJ483,Oeko!EW483)</f>
        <v>6.8782854204687789</v>
      </c>
      <c r="X483" s="1998">
        <f>IF(Construction!$F$31=Construction!$R$22,Oeko!CK483,Oeko!EX483)</f>
        <v>5.1896498139843814</v>
      </c>
      <c r="Y483" s="1998">
        <f>IF(Construction!$F$31=Construction!$R$22,Oeko!CL483,Oeko!EY483)</f>
        <v>5.2773808105633684</v>
      </c>
      <c r="Z483" s="1998">
        <f>IF(Construction!$F$31=Construction!$R$22,Oeko!CM483,Oeko!EZ483)</f>
        <v>5.2920026433265344</v>
      </c>
      <c r="AA483" s="1998">
        <f>IF(Construction!$F$31=Construction!$R$22,Oeko!CN483,Oeko!FA483)</f>
        <v>5.3066244760896986</v>
      </c>
      <c r="AB483" s="1998">
        <f>IF(Construction!$F$31=Construction!$R$22,Oeko!CO483,Oeko!FB483)</f>
        <v>5.3334311694888319</v>
      </c>
      <c r="AC483" s="1979">
        <f>IF(Construction!$F$31=Construction!$R$22,Oeko!CP483,Oeko!FC483)</f>
        <v>3.9415250625668858</v>
      </c>
      <c r="AD483" s="1979">
        <f>IF(Construction!$F$31=Construction!$R$22,Oeko!CQ483,Oeko!FD483)</f>
        <v>4.0146342263827082</v>
      </c>
      <c r="AE483" s="1979">
        <f>IF(Construction!$F$31=Construction!$R$22,Oeko!CR483,Oeko!FE483)</f>
        <v>4.0877433901985309</v>
      </c>
      <c r="AF483" s="1979">
        <f>IF(Construction!$F$31=Construction!$R$22,Oeko!CS483,Oeko!FF483)</f>
        <v>4.1608525540143528</v>
      </c>
      <c r="AG483" s="1979">
        <f>IF(Construction!$F$31=Construction!$R$22,Oeko!CT483,Oeko!FG483)</f>
        <v>4.2948860210100266</v>
      </c>
      <c r="AH483" s="1998">
        <f>IF(Construction!$F$31=Construction!$R$22,Oeko!CU483,Oeko!FH483)</f>
        <v>8.3020939082339655</v>
      </c>
      <c r="AI483" s="1998">
        <f>IF(Construction!$F$31=Construction!$R$22,Oeko!CV483,Oeko!FI483)</f>
        <v>8.4483122358656093</v>
      </c>
      <c r="AJ483" s="1998">
        <f>IF(Construction!$F$31=Construction!$R$22,Oeko!CW483,Oeko!FJ483)</f>
        <v>8.5823457028612857</v>
      </c>
      <c r="AK483" s="1998">
        <f>IF(Construction!$F$31=Construction!$R$22,Oeko!CX483,Oeko!FK483)</f>
        <v>8.7285640304929295</v>
      </c>
      <c r="AL483" s="1998">
        <f>IF(Construction!$F$31=Construction!$R$22,Oeko!CY483,Oeko!FL483)</f>
        <v>9.0819249889360698</v>
      </c>
      <c r="AM483" s="1979">
        <f>IF(Construction!$F$31=Construction!$R$22,Oeko!CZ483,Oeko!FM483)</f>
        <v>8.6204365613411227</v>
      </c>
      <c r="AN483" s="1979">
        <f>IF(Construction!$F$31=Construction!$R$22,Oeko!DA483,Oeko!FN483)</f>
        <v>5.159136618844486</v>
      </c>
      <c r="AO483" s="1979">
        <f>IF(Construction!$F$31=Construction!$R$22,Oeko!DB483,Oeko!FO483)</f>
        <v>5.2383696875695724</v>
      </c>
      <c r="AP483" s="1979">
        <f>IF(Construction!$F$31=Construction!$R$22,Oeko!DC483,Oeko!FP483)</f>
        <v>5.3358485726573361</v>
      </c>
      <c r="AQ483" s="1979">
        <f>IF(Construction!$F$31=Construction!$R$22,Oeko!DD483,Oeko!FQ483)</f>
        <v>5.4333274577450981</v>
      </c>
      <c r="AR483" s="1998">
        <f>IF(Construction!$F$31=Construction!$R$22,Oeko!DE483,Oeko!FR483)</f>
        <v>63.064890257204965</v>
      </c>
      <c r="AS483" s="1998">
        <f>IF(Construction!$F$31=Construction!$R$22,Oeko!DF483,Oeko!FS483)</f>
        <v>64.24178107151964</v>
      </c>
      <c r="AT483" s="1998">
        <f>IF(Construction!$F$31=Construction!$R$22,Oeko!DG483,Oeko!FT483)</f>
        <v>65.320597651308091</v>
      </c>
      <c r="AU483" s="1998">
        <f>IF(Construction!$F$31=Construction!$R$22,Oeko!DH483,Oeko!FU483)</f>
        <v>66.497488465622766</v>
      </c>
      <c r="AV483" s="1998">
        <f>IF(Construction!$F$31=Construction!$R$22,Oeko!DI483,Oeko!FV483)</f>
        <v>69.341641266883229</v>
      </c>
      <c r="AW483" s="1979">
        <f>IF(Construction!$F$31=Construction!$R$22,Oeko!DJ483,Oeko!FW483)</f>
        <v>63.703510268501454</v>
      </c>
      <c r="AX483" s="1979">
        <f>IF(Construction!$F$31=Construction!$R$22,Oeko!DK483,Oeko!FX483)</f>
        <v>64.878068374238239</v>
      </c>
      <c r="AY483" s="1979">
        <f>IF(Construction!$F$31=Construction!$R$22,Oeko!DL483,Oeko!FY483)</f>
        <v>65.954746637830297</v>
      </c>
      <c r="AZ483" s="1979">
        <f>IF(Construction!$F$31=Construction!$R$22,Oeko!DM483,Oeko!FZ483)</f>
        <v>67.129304743567076</v>
      </c>
      <c r="BA483" s="1979">
        <f>IF(Construction!$F$31=Construction!$R$22,Oeko!DN483,Oeko!GA483)</f>
        <v>69.967820165764294</v>
      </c>
      <c r="BB483" s="1998">
        <f>IF(Construction!$F$31=Construction!$R$22,Oeko!DO483,Oeko!GB483)</f>
        <v>4.6466310257555303</v>
      </c>
      <c r="BC483" s="1998">
        <f>IF(Construction!$F$31=Construction!$R$22,Oeko!DP483,Oeko!GC483)</f>
        <v>4.992838765104108</v>
      </c>
      <c r="BD483" s="1998">
        <f>IF(Construction!$F$31=Construction!$R$22,Oeko!DQ483,Oeko!GD483)</f>
        <v>5.3390465044526874</v>
      </c>
      <c r="BE483" s="1998">
        <f>IF(Construction!$F$31=Construction!$R$22,Oeko!DR483,Oeko!GE483)</f>
        <v>5.6852542438012659</v>
      </c>
      <c r="BF483" s="1998">
        <f>IF(Construction!$F$31=Construction!$R$22,Oeko!DS483,Oeko!GF483)</f>
        <v>6.0314619831498435</v>
      </c>
      <c r="BG483" s="1979">
        <f>IF(Construction!$F$31=Construction!$R$22,Oeko!DT483,Oeko!GG483)</f>
        <v>5.0660956773644505</v>
      </c>
      <c r="BH483" s="1979">
        <f>IF(Construction!$F$31=Construction!$R$22,Oeko!DU483,Oeko!GH483)</f>
        <v>5.4110285400101796</v>
      </c>
      <c r="BI483" s="1979">
        <f>IF(Construction!$F$31=Construction!$R$22,Oeko!DV483,Oeko!GI483)</f>
        <v>5.7559614026559096</v>
      </c>
      <c r="BJ483" s="1979">
        <f>IF(Construction!$F$31=Construction!$R$22,Oeko!DW483,Oeko!GJ483)</f>
        <v>6.1008942653016396</v>
      </c>
      <c r="BK483" s="2021">
        <f>IF(Construction!$F$31=Construction!$R$22,Oeko!DX483,Oeko!GK483)</f>
        <v>6.4458271279473687</v>
      </c>
      <c r="BN483" s="2022"/>
      <c r="BO483" s="2">
        <v>21</v>
      </c>
      <c r="BP483" s="2" t="str">
        <f>CONCATENATE($U$8," ",GV$15)</f>
        <v xml:space="preserve">Proportion de fenêtres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Proportion de fenêtres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Proportion de fenêtres </v>
      </c>
      <c r="D484" s="1998">
        <f>IF(Construction!$F$31=Construction!$R$22,Oeko!BQ484,Oeko!ED484)</f>
        <v>8.7739908268679034</v>
      </c>
      <c r="E484" s="1998">
        <f>IF(Construction!$F$31=Construction!$R$22,Oeko!BR484,Oeko!EE484)</f>
        <v>4.7976351024461987</v>
      </c>
      <c r="F484" s="1998">
        <f>IF(Construction!$F$31=Construction!$R$22,Oeko!BS484,Oeko!EF484)</f>
        <v>4.866431605840317</v>
      </c>
      <c r="G484" s="1998">
        <f>IF(Construction!$F$31=Construction!$R$22,Oeko!BT484,Oeko!EG484)</f>
        <v>4.9517256302921098</v>
      </c>
      <c r="H484" s="1998">
        <f>IF(Construction!$F$31=Construction!$R$22,Oeko!BU484,Oeko!EH484)</f>
        <v>5.0370196547439026</v>
      </c>
      <c r="I484" s="1979">
        <f>IF(Construction!$F$31=Construction!$R$22,Oeko!BV484,Oeko!EI484)</f>
        <v>13.327563723215286</v>
      </c>
      <c r="J484" s="1979">
        <f>IF(Construction!$F$31=Construction!$R$22,Oeko!BW484,Oeko!EJ484)</f>
        <v>6.9743888998202248</v>
      </c>
      <c r="K484" s="1979">
        <f>IF(Construction!$F$31=Construction!$R$22,Oeko!BX484,Oeko!EK484)</f>
        <v>7.092586122325943</v>
      </c>
      <c r="L484" s="1979">
        <f>IF(Construction!$F$31=Construction!$R$22,Oeko!BY484,Oeko!EL484)</f>
        <v>7.2388044499575877</v>
      </c>
      <c r="M484" s="1979">
        <f>IF(Construction!$F$31=Construction!$R$22,Oeko!BZ484,Oeko!EM484)</f>
        <v>7.3850227775892314</v>
      </c>
      <c r="N484" s="1998">
        <f>IF(Construction!$F$31=Construction!$R$22,Oeko!CA484,Oeko!EN484)</f>
        <v>4.8825522853595817</v>
      </c>
      <c r="O484" s="1998">
        <f>IF(Construction!$F$31=Construction!$R$22,Oeko!CB484,Oeko!EO484)</f>
        <v>4.9661056154348069</v>
      </c>
      <c r="P484" s="1998">
        <f>IF(Construction!$F$31=Construction!$R$22,Oeko!CC484,Oeko!EP484)</f>
        <v>4.9765497816942093</v>
      </c>
      <c r="Q484" s="1998">
        <f>IF(Construction!$F$31=Construction!$R$22,Oeko!CD484,Oeko!EQ484)</f>
        <v>4.9869939479536116</v>
      </c>
      <c r="R484" s="1998">
        <f>IF(Construction!$F$31=Construction!$R$22,Oeko!CE484,Oeko!ER484)</f>
        <v>5.0061415860958531</v>
      </c>
      <c r="S484" s="1979">
        <f>IF(Construction!$F$31=Construction!$R$22,Oeko!CF484,Oeko!ES484)</f>
        <v>6.1374248765178496</v>
      </c>
      <c r="T484" s="1979">
        <f>IF(Construction!$F$31=Construction!$R$22,Oeko!CG484,Oeko!ET484)</f>
        <v>6.2470886222415825</v>
      </c>
      <c r="U484" s="1979">
        <f>IF(Construction!$F$31=Construction!$R$22,Oeko!CH484,Oeko!EU484)</f>
        <v>6.2836432041494934</v>
      </c>
      <c r="V484" s="1979">
        <f>IF(Construction!$F$31=Construction!$R$22,Oeko!CI484,Oeko!EV484)</f>
        <v>6.3201977860574052</v>
      </c>
      <c r="W484" s="1979">
        <f>IF(Construction!$F$31=Construction!$R$22,Oeko!CJ484,Oeko!EW484)</f>
        <v>6.3872145195552417</v>
      </c>
      <c r="X484" s="1998">
        <f>IF(Construction!$F$31=Construction!$R$22,Oeko!CK484,Oeko!EX484)</f>
        <v>4.9922010465521334</v>
      </c>
      <c r="Y484" s="1998">
        <f>IF(Construction!$F$31=Construction!$R$22,Oeko!CL484,Oeko!EY484)</f>
        <v>5.0799320431311203</v>
      </c>
      <c r="Z484" s="1998">
        <f>IF(Construction!$F$31=Construction!$R$22,Oeko!CM484,Oeko!EZ484)</f>
        <v>5.0945538758942845</v>
      </c>
      <c r="AA484" s="1998">
        <f>IF(Construction!$F$31=Construction!$R$22,Oeko!CN484,Oeko!FA484)</f>
        <v>5.1091757086574496</v>
      </c>
      <c r="AB484" s="1998">
        <f>IF(Construction!$F$31=Construction!$R$22,Oeko!CO484,Oeko!FB484)</f>
        <v>5.1359824020565839</v>
      </c>
      <c r="AC484" s="1979">
        <f>IF(Construction!$F$31=Construction!$R$22,Oeko!CP484,Oeko!FC484)</f>
        <v>3.7305877892199351</v>
      </c>
      <c r="AD484" s="1979">
        <f>IF(Construction!$F$31=Construction!$R$22,Oeko!CQ484,Oeko!FD484)</f>
        <v>3.8036969530357569</v>
      </c>
      <c r="AE484" s="1979">
        <f>IF(Construction!$F$31=Construction!$R$22,Oeko!CR484,Oeko!FE484)</f>
        <v>3.8768061168515788</v>
      </c>
      <c r="AF484" s="1979">
        <f>IF(Construction!$F$31=Construction!$R$22,Oeko!CS484,Oeko!FF484)</f>
        <v>3.9499152806674016</v>
      </c>
      <c r="AG484" s="1979">
        <f>IF(Construction!$F$31=Construction!$R$22,Oeko!CT484,Oeko!FG484)</f>
        <v>4.0839487476630758</v>
      </c>
      <c r="AH484" s="1998">
        <f>IF(Construction!$F$31=Construction!$R$22,Oeko!CU484,Oeko!FH484)</f>
        <v>7.8811759931652192</v>
      </c>
      <c r="AI484" s="1998">
        <f>IF(Construction!$F$31=Construction!$R$22,Oeko!CV484,Oeko!FI484)</f>
        <v>8.0273943207968639</v>
      </c>
      <c r="AJ484" s="1998">
        <f>IF(Construction!$F$31=Construction!$R$22,Oeko!CW484,Oeko!FJ484)</f>
        <v>8.1614277877925385</v>
      </c>
      <c r="AK484" s="1998">
        <f>IF(Construction!$F$31=Construction!$R$22,Oeko!CX484,Oeko!FK484)</f>
        <v>8.3076461154241823</v>
      </c>
      <c r="AL484" s="1998">
        <f>IF(Construction!$F$31=Construction!$R$22,Oeko!CY484,Oeko!FL484)</f>
        <v>8.6610070738673226</v>
      </c>
      <c r="AM484" s="1979">
        <f>IF(Construction!$F$31=Construction!$R$22,Oeko!CZ484,Oeko!FM484)</f>
        <v>6.7358809250523288</v>
      </c>
      <c r="AN484" s="1979">
        <f>IF(Construction!$F$31=Construction!$R$22,Oeko!DA484,Oeko!FN484)</f>
        <v>5.0539703963478919</v>
      </c>
      <c r="AO484" s="1979">
        <f>IF(Construction!$F$31=Construction!$R$22,Oeko!DB484,Oeko!FO484)</f>
        <v>5.1342031328303364</v>
      </c>
      <c r="AP484" s="1979">
        <f>IF(Construction!$F$31=Construction!$R$22,Oeko!DC484,Oeko!FP484)</f>
        <v>5.2316820179181001</v>
      </c>
      <c r="AQ484" s="1979">
        <f>IF(Construction!$F$31=Construction!$R$22,Oeko!DD484,Oeko!FQ484)</f>
        <v>5.3291609030058629</v>
      </c>
      <c r="AR484" s="1998">
        <f>IF(Construction!$F$31=Construction!$R$22,Oeko!DE484,Oeko!FR484)</f>
        <v>61.555730672693429</v>
      </c>
      <c r="AS484" s="1998">
        <f>IF(Construction!$F$31=Construction!$R$22,Oeko!DF484,Oeko!FS484)</f>
        <v>62.732621487008117</v>
      </c>
      <c r="AT484" s="1998">
        <f>IF(Construction!$F$31=Construction!$R$22,Oeko!DG484,Oeko!FT484)</f>
        <v>63.811438066796569</v>
      </c>
      <c r="AU484" s="1998">
        <f>IF(Construction!$F$31=Construction!$R$22,Oeko!DH484,Oeko!FU484)</f>
        <v>64.988328881111244</v>
      </c>
      <c r="AV484" s="1998">
        <f>IF(Construction!$F$31=Construction!$R$22,Oeko!DI484,Oeko!FV484)</f>
        <v>67.832481682371707</v>
      </c>
      <c r="AW484" s="1979">
        <f>IF(Construction!$F$31=Construction!$R$22,Oeko!DJ484,Oeko!FW484)</f>
        <v>62.135865723955305</v>
      </c>
      <c r="AX484" s="1979">
        <f>IF(Construction!$F$31=Construction!$R$22,Oeko!DK484,Oeko!FX484)</f>
        <v>63.310423829692077</v>
      </c>
      <c r="AY484" s="1979">
        <f>IF(Construction!$F$31=Construction!$R$22,Oeko!DL484,Oeko!FY484)</f>
        <v>64.387102093284142</v>
      </c>
      <c r="AZ484" s="1979">
        <f>IF(Construction!$F$31=Construction!$R$22,Oeko!DM484,Oeko!FZ484)</f>
        <v>65.56166019902092</v>
      </c>
      <c r="BA484" s="1979">
        <f>IF(Construction!$F$31=Construction!$R$22,Oeko!DN484,Oeko!GA484)</f>
        <v>68.400175621218153</v>
      </c>
      <c r="BB484" s="1998">
        <f>IF(Construction!$F$31=Construction!$R$22,Oeko!DO484,Oeko!GB484)</f>
        <v>4.4725158102302087</v>
      </c>
      <c r="BC484" s="1998">
        <f>IF(Construction!$F$31=Construction!$R$22,Oeko!DP484,Oeko!GC484)</f>
        <v>4.8187235495787872</v>
      </c>
      <c r="BD484" s="1998">
        <f>IF(Construction!$F$31=Construction!$R$22,Oeko!DQ484,Oeko!GD484)</f>
        <v>5.1649312889273649</v>
      </c>
      <c r="BE484" s="1998">
        <f>IF(Construction!$F$31=Construction!$R$22,Oeko!DR484,Oeko!GE484)</f>
        <v>5.5111390282759434</v>
      </c>
      <c r="BF484" s="1998">
        <f>IF(Construction!$F$31=Construction!$R$22,Oeko!DS484,Oeko!GF484)</f>
        <v>5.8573467676245219</v>
      </c>
      <c r="BG484" s="1979">
        <f>IF(Construction!$F$31=Construction!$R$22,Oeko!DT484,Oeko!GG484)</f>
        <v>4.7327238016183193</v>
      </c>
      <c r="BH484" s="1979">
        <f>IF(Construction!$F$31=Construction!$R$22,Oeko!DU484,Oeko!GH484)</f>
        <v>5.0776566642640484</v>
      </c>
      <c r="BI484" s="1979">
        <f>IF(Construction!$F$31=Construction!$R$22,Oeko!DV484,Oeko!GI484)</f>
        <v>5.4225895269097775</v>
      </c>
      <c r="BJ484" s="1979">
        <f>IF(Construction!$F$31=Construction!$R$22,Oeko!DW484,Oeko!GJ484)</f>
        <v>5.7675223895555074</v>
      </c>
      <c r="BK484" s="2021">
        <f>IF(Construction!$F$31=Construction!$R$22,Oeko!DX484,Oeko!GK484)</f>
        <v>6.1124552522012365</v>
      </c>
      <c r="BN484" s="2022"/>
      <c r="BO484" s="2">
        <v>22</v>
      </c>
      <c r="BP484" s="2" t="str">
        <f>CONCATENATE($U$8," ",GV$16)</f>
        <v xml:space="preserve">Proportion de fenêtres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Proportion de fenêtres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Proportion de fenêtres </v>
      </c>
      <c r="D485" s="1998">
        <f>IF(Construction!$F$31=Construction!$R$22,Oeko!BQ485,Oeko!ED485)</f>
        <v>4.4722877440347908</v>
      </c>
      <c r="E485" s="1998">
        <f>IF(Construction!$F$31=Construction!$R$22,Oeko!BR485,Oeko!EE485)</f>
        <v>4.5575817684865827</v>
      </c>
      <c r="F485" s="1998">
        <f>IF(Construction!$F$31=Construction!$R$22,Oeko!BS485,Oeko!EF485)</f>
        <v>4.6286601221964103</v>
      </c>
      <c r="G485" s="1998">
        <f>IF(Construction!$F$31=Construction!$R$22,Oeko!BT485,Oeko!EG485)</f>
        <v>4.7139541466482031</v>
      </c>
      <c r="H485" s="1998">
        <f>IF(Construction!$F$31=Construction!$R$22,Oeko!BU485,Oeko!EH485)</f>
        <v>4.799248171099995</v>
      </c>
      <c r="I485" s="1979">
        <f>IF(Construction!$F$31=Construction!$R$22,Oeko!BV485,Oeko!EI485)</f>
        <v>6.4440407010565446</v>
      </c>
      <c r="J485" s="1979">
        <f>IF(Construction!$F$31=Construction!$R$22,Oeko!BW485,Oeko!EJ485)</f>
        <v>6.5902590286881875</v>
      </c>
      <c r="K485" s="1979">
        <f>IF(Construction!$F$31=Construction!$R$22,Oeko!BX485,Oeko!EK485)</f>
        <v>6.7121076350478912</v>
      </c>
      <c r="L485" s="1979">
        <f>IF(Construction!$F$31=Construction!$R$22,Oeko!BY485,Oeko!EL485)</f>
        <v>6.8583259626795368</v>
      </c>
      <c r="M485" s="1979">
        <f>IF(Construction!$F$31=Construction!$R$22,Oeko!BZ485,Oeko!EM485)</f>
        <v>7.0045442903111805</v>
      </c>
      <c r="N485" s="1998">
        <f>IF(Construction!$F$31=Construction!$R$22,Oeko!CA485,Oeko!EN485)</f>
        <v>4.6548739585723951</v>
      </c>
      <c r="O485" s="1998">
        <f>IF(Construction!$F$31=Construction!$R$22,Oeko!CB485,Oeko!EO485)</f>
        <v>4.7384272886476202</v>
      </c>
      <c r="P485" s="1998">
        <f>IF(Construction!$F$31=Construction!$R$22,Oeko!CC485,Oeko!EP485)</f>
        <v>4.7488714549070234</v>
      </c>
      <c r="Q485" s="1998">
        <f>IF(Construction!$F$31=Construction!$R$22,Oeko!CD485,Oeko!EQ485)</f>
        <v>4.7593156211664267</v>
      </c>
      <c r="R485" s="1998">
        <f>IF(Construction!$F$31=Construction!$R$22,Oeko!CE485,Oeko!ER485)</f>
        <v>4.7784632593086664</v>
      </c>
      <c r="S485" s="1979">
        <f>IF(Construction!$F$31=Construction!$R$22,Oeko!CF485,Oeko!ES485)</f>
        <v>5.6463539756043115</v>
      </c>
      <c r="T485" s="1979">
        <f>IF(Construction!$F$31=Construction!$R$22,Oeko!CG485,Oeko!ET485)</f>
        <v>5.7560177213280452</v>
      </c>
      <c r="U485" s="1979">
        <f>IF(Construction!$F$31=Construction!$R$22,Oeko!CH485,Oeko!EU485)</f>
        <v>5.7925723032359553</v>
      </c>
      <c r="V485" s="1979">
        <f>IF(Construction!$F$31=Construction!$R$22,Oeko!CI485,Oeko!EV485)</f>
        <v>5.8291268851438671</v>
      </c>
      <c r="W485" s="1979">
        <f>IF(Construction!$F$31=Construction!$R$22,Oeko!CJ485,Oeko!EW485)</f>
        <v>5.8961436186417036</v>
      </c>
      <c r="X485" s="1998">
        <f>IF(Construction!$F$31=Construction!$R$22,Oeko!CK485,Oeko!EX485)</f>
        <v>4.7947522791198844</v>
      </c>
      <c r="Y485" s="1998">
        <f>IF(Construction!$F$31=Construction!$R$22,Oeko!CL485,Oeko!EY485)</f>
        <v>4.8824832756988714</v>
      </c>
      <c r="Z485" s="1998">
        <f>IF(Construction!$F$31=Construction!$R$22,Oeko!CM485,Oeko!EZ485)</f>
        <v>4.8971051084620356</v>
      </c>
      <c r="AA485" s="1998">
        <f>IF(Construction!$F$31=Construction!$R$22,Oeko!CN485,Oeko!FA485)</f>
        <v>4.9117269412251998</v>
      </c>
      <c r="AB485" s="1998">
        <f>IF(Construction!$F$31=Construction!$R$22,Oeko!CO485,Oeko!FB485)</f>
        <v>4.9385336346243349</v>
      </c>
      <c r="AC485" s="1979">
        <f>IF(Construction!$F$31=Construction!$R$22,Oeko!CP485,Oeko!FC485)</f>
        <v>3.5196505158729834</v>
      </c>
      <c r="AD485" s="1979">
        <f>IF(Construction!$F$31=Construction!$R$22,Oeko!CQ485,Oeko!FD485)</f>
        <v>3.5927596796888057</v>
      </c>
      <c r="AE485" s="1979">
        <f>IF(Construction!$F$31=Construction!$R$22,Oeko!CR485,Oeko!FE485)</f>
        <v>3.6658688435046276</v>
      </c>
      <c r="AF485" s="1979">
        <f>IF(Construction!$F$31=Construction!$R$22,Oeko!CS485,Oeko!FF485)</f>
        <v>3.7389780073204499</v>
      </c>
      <c r="AG485" s="1979">
        <f>IF(Construction!$F$31=Construction!$R$22,Oeko!CT485,Oeko!FG485)</f>
        <v>3.8730114743161232</v>
      </c>
      <c r="AH485" s="1998">
        <f>IF(Construction!$F$31=Construction!$R$22,Oeko!CU485,Oeko!FH485)</f>
        <v>7.4602580780964711</v>
      </c>
      <c r="AI485" s="1998">
        <f>IF(Construction!$F$31=Construction!$R$22,Oeko!CV485,Oeko!FI485)</f>
        <v>7.6064764057281176</v>
      </c>
      <c r="AJ485" s="1998">
        <f>IF(Construction!$F$31=Construction!$R$22,Oeko!CW485,Oeko!FJ485)</f>
        <v>7.7405098727237904</v>
      </c>
      <c r="AK485" s="1998">
        <f>IF(Construction!$F$31=Construction!$R$22,Oeko!CX485,Oeko!FK485)</f>
        <v>7.886728200355436</v>
      </c>
      <c r="AL485" s="1998">
        <f>IF(Construction!$F$31=Construction!$R$22,Oeko!CY485,Oeko!FL485)</f>
        <v>8.2400891587985754</v>
      </c>
      <c r="AM485" s="1979">
        <f>IF(Construction!$F$31=Construction!$R$22,Oeko!CZ485,Oeko!FM485)</f>
        <v>4.8513252887635359</v>
      </c>
      <c r="AN485" s="1979">
        <f>IF(Construction!$F$31=Construction!$R$22,Oeko!DA485,Oeko!FN485)</f>
        <v>4.9488041738512987</v>
      </c>
      <c r="AO485" s="1979">
        <f>IF(Construction!$F$31=Construction!$R$22,Oeko!DB485,Oeko!FO485)</f>
        <v>5.0300365780911021</v>
      </c>
      <c r="AP485" s="1979">
        <f>IF(Construction!$F$31=Construction!$R$22,Oeko!DC485,Oeko!FP485)</f>
        <v>5.127515463178864</v>
      </c>
      <c r="AQ485" s="1979">
        <f>IF(Construction!$F$31=Construction!$R$22,Oeko!DD485,Oeko!FQ485)</f>
        <v>5.2249943482666277</v>
      </c>
      <c r="AR485" s="1998">
        <f>IF(Construction!$F$31=Construction!$R$22,Oeko!DE485,Oeko!FR485)</f>
        <v>60.046571088181906</v>
      </c>
      <c r="AS485" s="1998">
        <f>IF(Construction!$F$31=Construction!$R$22,Oeko!DF485,Oeko!FS485)</f>
        <v>61.223461902496581</v>
      </c>
      <c r="AT485" s="1998">
        <f>IF(Construction!$F$31=Construction!$R$22,Oeko!DG485,Oeko!FT485)</f>
        <v>62.302278482285033</v>
      </c>
      <c r="AU485" s="1998">
        <f>IF(Construction!$F$31=Construction!$R$22,Oeko!DH485,Oeko!FU485)</f>
        <v>63.4791692965997</v>
      </c>
      <c r="AV485" s="1998">
        <f>IF(Construction!$F$31=Construction!$R$22,Oeko!DI485,Oeko!FV485)</f>
        <v>66.323322097860171</v>
      </c>
      <c r="AW485" s="1979">
        <f>IF(Construction!$F$31=Construction!$R$22,Oeko!DJ485,Oeko!FW485)</f>
        <v>60.568221179409143</v>
      </c>
      <c r="AX485" s="1979">
        <f>IF(Construction!$F$31=Construction!$R$22,Oeko!DK485,Oeko!FX485)</f>
        <v>61.742779285145915</v>
      </c>
      <c r="AY485" s="1979">
        <f>IF(Construction!$F$31=Construction!$R$22,Oeko!DL485,Oeko!FY485)</f>
        <v>62.819457548737979</v>
      </c>
      <c r="AZ485" s="1979">
        <f>IF(Construction!$F$31=Construction!$R$22,Oeko!DM485,Oeko!FZ485)</f>
        <v>63.994015654474758</v>
      </c>
      <c r="BA485" s="1979">
        <f>IF(Construction!$F$31=Construction!$R$22,Oeko!DN485,Oeko!GA485)</f>
        <v>66.832531076671998</v>
      </c>
      <c r="BB485" s="1998">
        <f>IF(Construction!$F$31=Construction!$R$22,Oeko!DO485,Oeko!GB485)</f>
        <v>4.2984005947048871</v>
      </c>
      <c r="BC485" s="1998">
        <f>IF(Construction!$F$31=Construction!$R$22,Oeko!DP485,Oeko!GC485)</f>
        <v>4.6446083340534656</v>
      </c>
      <c r="BD485" s="1998">
        <f>IF(Construction!$F$31=Construction!$R$22,Oeko!DQ485,Oeko!GD485)</f>
        <v>4.990816073402045</v>
      </c>
      <c r="BE485" s="1998">
        <f>IF(Construction!$F$31=Construction!$R$22,Oeko!DR485,Oeko!GE485)</f>
        <v>5.3370238127506235</v>
      </c>
      <c r="BF485" s="1998">
        <f>IF(Construction!$F$31=Construction!$R$22,Oeko!DS485,Oeko!GF485)</f>
        <v>5.6832315520992021</v>
      </c>
      <c r="BG485" s="1979">
        <f>IF(Construction!$F$31=Construction!$R$22,Oeko!DT485,Oeko!GG485)</f>
        <v>4.399351925872188</v>
      </c>
      <c r="BH485" s="1979">
        <f>IF(Construction!$F$31=Construction!$R$22,Oeko!DU485,Oeko!GH485)</f>
        <v>4.7442847885179162</v>
      </c>
      <c r="BI485" s="1979">
        <f>IF(Construction!$F$31=Construction!$R$22,Oeko!DV485,Oeko!GI485)</f>
        <v>5.0892176511636453</v>
      </c>
      <c r="BJ485" s="1979">
        <f>IF(Construction!$F$31=Construction!$R$22,Oeko!DW485,Oeko!GJ485)</f>
        <v>5.4341505138093753</v>
      </c>
      <c r="BK485" s="2021">
        <f>IF(Construction!$F$31=Construction!$R$22,Oeko!DX485,Oeko!GK485)</f>
        <v>5.7790833764551044</v>
      </c>
      <c r="BN485" s="2022"/>
      <c r="BO485" s="2">
        <v>23</v>
      </c>
      <c r="BP485" s="2" t="str">
        <f>CONCATENATE($U$8," ",GV$17)</f>
        <v xml:space="preserve">Proportion de fenêtres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Proportion de fenêtres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IF(Construction!$F$31=Construction!$R$22,Oeko!BQ486,Oeko!ED486)</f>
        <v>1</v>
      </c>
      <c r="E486" s="1998">
        <f>IF(Construction!$F$31=Construction!$R$22,Oeko!BR486,Oeko!EE486)</f>
        <v>1</v>
      </c>
      <c r="F486" s="1998">
        <f>IF(Construction!$F$31=Construction!$R$22,Oeko!BS486,Oeko!EF486)</f>
        <v>1</v>
      </c>
      <c r="G486" s="1998">
        <f>IF(Construction!$F$31=Construction!$R$22,Oeko!BT486,Oeko!EG486)</f>
        <v>1</v>
      </c>
      <c r="H486" s="1998">
        <f>IF(Construction!$F$31=Construction!$R$22,Oeko!BU486,Oeko!EH486)</f>
        <v>1</v>
      </c>
      <c r="I486" s="1979">
        <f>IF(Construction!$F$31=Construction!$R$22,Oeko!BV486,Oeko!EI486)</f>
        <v>1</v>
      </c>
      <c r="J486" s="1979">
        <f>IF(Construction!$F$31=Construction!$R$22,Oeko!BW486,Oeko!EJ486)</f>
        <v>1</v>
      </c>
      <c r="K486" s="1979">
        <f>IF(Construction!$F$31=Construction!$R$22,Oeko!BX486,Oeko!EK486)</f>
        <v>1</v>
      </c>
      <c r="L486" s="1979">
        <f>IF(Construction!$F$31=Construction!$R$22,Oeko!BY486,Oeko!EL486)</f>
        <v>1</v>
      </c>
      <c r="M486" s="1979">
        <f>IF(Construction!$F$31=Construction!$R$22,Oeko!BZ486,Oeko!EM486)</f>
        <v>1</v>
      </c>
      <c r="N486" s="1998">
        <f>IF(Construction!$F$31=Construction!$R$22,Oeko!CA486,Oeko!EN486)</f>
        <v>1.0000000000000002</v>
      </c>
      <c r="O486" s="1998">
        <f>IF(Construction!$F$31=Construction!$R$22,Oeko!CB486,Oeko!EO486)</f>
        <v>1.0000000000000002</v>
      </c>
      <c r="P486" s="1998">
        <f>IF(Construction!$F$31=Construction!$R$22,Oeko!CC486,Oeko!EP486)</f>
        <v>1.0000000000000002</v>
      </c>
      <c r="Q486" s="1998">
        <f>IF(Construction!$F$31=Construction!$R$22,Oeko!CD486,Oeko!EQ486)</f>
        <v>1.0000000000000002</v>
      </c>
      <c r="R486" s="1998">
        <f>IF(Construction!$F$31=Construction!$R$22,Oeko!CE486,Oeko!ER486)</f>
        <v>1.0000000000000002</v>
      </c>
      <c r="S486" s="1979">
        <f>IF(Construction!$F$31=Construction!$R$22,Oeko!CF486,Oeko!ES486)</f>
        <v>1</v>
      </c>
      <c r="T486" s="1979">
        <f>IF(Construction!$F$31=Construction!$R$22,Oeko!CG486,Oeko!ET486)</f>
        <v>1</v>
      </c>
      <c r="U486" s="1979">
        <f>IF(Construction!$F$31=Construction!$R$22,Oeko!CH486,Oeko!EU486)</f>
        <v>1</v>
      </c>
      <c r="V486" s="1979">
        <f>IF(Construction!$F$31=Construction!$R$22,Oeko!CI486,Oeko!EV486)</f>
        <v>1</v>
      </c>
      <c r="W486" s="1979">
        <f>IF(Construction!$F$31=Construction!$R$22,Oeko!CJ486,Oeko!EW486)</f>
        <v>1</v>
      </c>
      <c r="X486" s="1998">
        <f>IF(Construction!$F$31=Construction!$R$22,Oeko!CK486,Oeko!EX486)</f>
        <v>1</v>
      </c>
      <c r="Y486" s="1998">
        <f>IF(Construction!$F$31=Construction!$R$22,Oeko!CL486,Oeko!EY486)</f>
        <v>1</v>
      </c>
      <c r="Z486" s="1998">
        <f>IF(Construction!$F$31=Construction!$R$22,Oeko!CM486,Oeko!EZ486)</f>
        <v>1</v>
      </c>
      <c r="AA486" s="1998">
        <f>IF(Construction!$F$31=Construction!$R$22,Oeko!CN486,Oeko!FA486)</f>
        <v>1</v>
      </c>
      <c r="AB486" s="1998">
        <f>IF(Construction!$F$31=Construction!$R$22,Oeko!CO486,Oeko!FB486)</f>
        <v>1</v>
      </c>
      <c r="AC486" s="1979">
        <f>IF(Construction!$F$31=Construction!$R$22,Oeko!CP486,Oeko!FC486)</f>
        <v>1</v>
      </c>
      <c r="AD486" s="1979">
        <f>IF(Construction!$F$31=Construction!$R$22,Oeko!CQ486,Oeko!FD486)</f>
        <v>1</v>
      </c>
      <c r="AE486" s="1979">
        <f>IF(Construction!$F$31=Construction!$R$22,Oeko!CR486,Oeko!FE486)</f>
        <v>1</v>
      </c>
      <c r="AF486" s="1979">
        <f>IF(Construction!$F$31=Construction!$R$22,Oeko!CS486,Oeko!FF486)</f>
        <v>1</v>
      </c>
      <c r="AG486" s="1979">
        <f>IF(Construction!$F$31=Construction!$R$22,Oeko!CT486,Oeko!FG486)</f>
        <v>1</v>
      </c>
      <c r="AH486" s="1998">
        <f>IF(Construction!$F$31=Construction!$R$22,Oeko!CU486,Oeko!FH486)</f>
        <v>1</v>
      </c>
      <c r="AI486" s="1998">
        <f>IF(Construction!$F$31=Construction!$R$22,Oeko!CV486,Oeko!FI486)</f>
        <v>1</v>
      </c>
      <c r="AJ486" s="1998">
        <f>IF(Construction!$F$31=Construction!$R$22,Oeko!CW486,Oeko!FJ486)</f>
        <v>1</v>
      </c>
      <c r="AK486" s="1998">
        <f>IF(Construction!$F$31=Construction!$R$22,Oeko!CX486,Oeko!FK486)</f>
        <v>1</v>
      </c>
      <c r="AL486" s="1998">
        <f>IF(Construction!$F$31=Construction!$R$22,Oeko!CY486,Oeko!FL486)</f>
        <v>1</v>
      </c>
      <c r="AM486" s="1979">
        <f>IF(Construction!$F$31=Construction!$R$22,Oeko!CZ486,Oeko!FM486)</f>
        <v>0.66666666666666663</v>
      </c>
      <c r="AN486" s="1979">
        <f>IF(Construction!$F$31=Construction!$R$22,Oeko!DA486,Oeko!FN486)</f>
        <v>0.66666666666666663</v>
      </c>
      <c r="AO486" s="1979">
        <f>IF(Construction!$F$31=Construction!$R$22,Oeko!DB486,Oeko!FO486)</f>
        <v>0.66666666666666663</v>
      </c>
      <c r="AP486" s="1979">
        <f>IF(Construction!$F$31=Construction!$R$22,Oeko!DC486,Oeko!FP486)</f>
        <v>0.66666666666666663</v>
      </c>
      <c r="AQ486" s="1979">
        <f>IF(Construction!$F$31=Construction!$R$22,Oeko!DD486,Oeko!FQ486)</f>
        <v>0.66666666666666663</v>
      </c>
      <c r="AR486" s="1998">
        <f>IF(Construction!$F$31=Construction!$R$22,Oeko!DE486,Oeko!FR486)</f>
        <v>8.1914540462959007</v>
      </c>
      <c r="AS486" s="1998">
        <f>IF(Construction!$F$31=Construction!$R$22,Oeko!DF486,Oeko!FS486)</f>
        <v>8.1914540462959007</v>
      </c>
      <c r="AT486" s="1998">
        <f>IF(Construction!$F$31=Construction!$R$22,Oeko!DG486,Oeko!FT486)</f>
        <v>8.1914540462959007</v>
      </c>
      <c r="AU486" s="1998">
        <f>IF(Construction!$F$31=Construction!$R$22,Oeko!DH486,Oeko!FU486)</f>
        <v>8.1914540462959007</v>
      </c>
      <c r="AV486" s="1998">
        <f>IF(Construction!$F$31=Construction!$R$22,Oeko!DI486,Oeko!FV486)</f>
        <v>8.1914540462959007</v>
      </c>
      <c r="AW486" s="1979">
        <f>IF(Construction!$F$31=Construction!$R$22,Oeko!DJ486,Oeko!FW486)</f>
        <v>8.1771999062029916</v>
      </c>
      <c r="AX486" s="1979">
        <f>IF(Construction!$F$31=Construction!$R$22,Oeko!DK486,Oeko!FX486)</f>
        <v>8.1771999062029916</v>
      </c>
      <c r="AY486" s="1979">
        <f>IF(Construction!$F$31=Construction!$R$22,Oeko!DL486,Oeko!FY486)</f>
        <v>8.1771999062029916</v>
      </c>
      <c r="AZ486" s="1979">
        <f>IF(Construction!$F$31=Construction!$R$22,Oeko!DM486,Oeko!FZ486)</f>
        <v>8.1771999062029916</v>
      </c>
      <c r="BA486" s="1979">
        <f>IF(Construction!$F$31=Construction!$R$22,Oeko!DN486,Oeko!GA486)</f>
        <v>8.1771999062029916</v>
      </c>
      <c r="BB486" s="1998">
        <f>IF(Construction!$F$31=Construction!$R$22,Oeko!DO486,Oeko!GB486)</f>
        <v>1</v>
      </c>
      <c r="BC486" s="1998">
        <f>IF(Construction!$F$31=Construction!$R$22,Oeko!DP486,Oeko!GC486)</f>
        <v>1</v>
      </c>
      <c r="BD486" s="1998">
        <f>IF(Construction!$F$31=Construction!$R$22,Oeko!DQ486,Oeko!GD486)</f>
        <v>1</v>
      </c>
      <c r="BE486" s="1998">
        <f>IF(Construction!$F$31=Construction!$R$22,Oeko!DR486,Oeko!GE486)</f>
        <v>1</v>
      </c>
      <c r="BF486" s="1998">
        <f>IF(Construction!$F$31=Construction!$R$22,Oeko!DS486,Oeko!GF486)</f>
        <v>1</v>
      </c>
      <c r="BG486" s="1979">
        <f>IF(Construction!$F$31=Construction!$R$22,Oeko!DT486,Oeko!GG486)</f>
        <v>1</v>
      </c>
      <c r="BH486" s="1979">
        <f>IF(Construction!$F$31=Construction!$R$22,Oeko!DU486,Oeko!GH486)</f>
        <v>1</v>
      </c>
      <c r="BI486" s="1979">
        <f>IF(Construction!$F$31=Construction!$R$22,Oeko!DV486,Oeko!GI486)</f>
        <v>1</v>
      </c>
      <c r="BJ486" s="1979">
        <f>IF(Construction!$F$31=Construction!$R$22,Oeko!DW486,Oeko!GJ486)</f>
        <v>1</v>
      </c>
      <c r="BK486" s="2021">
        <f>IF(Construction!$F$31=Construction!$R$22,Oeko!DX486,Oeko!GK486)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IF(Construction!$F$31=Construction!$R$22,Oeko!BQ487,Oeko!ED487)</f>
        <v>1</v>
      </c>
      <c r="E487" s="1998">
        <f>IF(Construction!$F$31=Construction!$R$22,Oeko!BR487,Oeko!EE487)</f>
        <v>1</v>
      </c>
      <c r="F487" s="1998">
        <f>IF(Construction!$F$31=Construction!$R$22,Oeko!BS487,Oeko!EF487)</f>
        <v>1</v>
      </c>
      <c r="G487" s="1998">
        <f>IF(Construction!$F$31=Construction!$R$22,Oeko!BT487,Oeko!EG487)</f>
        <v>1</v>
      </c>
      <c r="H487" s="1998">
        <f>IF(Construction!$F$31=Construction!$R$22,Oeko!BU487,Oeko!EH487)</f>
        <v>1</v>
      </c>
      <c r="I487" s="1979">
        <f>IF(Construction!$F$31=Construction!$R$22,Oeko!BV487,Oeko!EI487)</f>
        <v>1</v>
      </c>
      <c r="J487" s="1979">
        <f>IF(Construction!$F$31=Construction!$R$22,Oeko!BW487,Oeko!EJ487)</f>
        <v>1</v>
      </c>
      <c r="K487" s="1979">
        <f>IF(Construction!$F$31=Construction!$R$22,Oeko!BX487,Oeko!EK487)</f>
        <v>1</v>
      </c>
      <c r="L487" s="1979">
        <f>IF(Construction!$F$31=Construction!$R$22,Oeko!BY487,Oeko!EL487)</f>
        <v>1</v>
      </c>
      <c r="M487" s="1979">
        <f>IF(Construction!$F$31=Construction!$R$22,Oeko!BZ487,Oeko!EM487)</f>
        <v>1</v>
      </c>
      <c r="N487" s="1998">
        <f>IF(Construction!$F$31=Construction!$R$22,Oeko!CA487,Oeko!EN487)</f>
        <v>1</v>
      </c>
      <c r="O487" s="1998">
        <f>IF(Construction!$F$31=Construction!$R$22,Oeko!CB487,Oeko!EO487)</f>
        <v>1</v>
      </c>
      <c r="P487" s="1998">
        <f>IF(Construction!$F$31=Construction!$R$22,Oeko!CC487,Oeko!EP487)</f>
        <v>1</v>
      </c>
      <c r="Q487" s="1998">
        <f>IF(Construction!$F$31=Construction!$R$22,Oeko!CD487,Oeko!EQ487)</f>
        <v>1</v>
      </c>
      <c r="R487" s="1998">
        <f>IF(Construction!$F$31=Construction!$R$22,Oeko!CE487,Oeko!ER487)</f>
        <v>1</v>
      </c>
      <c r="S487" s="1979">
        <f>IF(Construction!$F$31=Construction!$R$22,Oeko!CF487,Oeko!ES487)</f>
        <v>1.0000000000000002</v>
      </c>
      <c r="T487" s="1979">
        <f>IF(Construction!$F$31=Construction!$R$22,Oeko!CG487,Oeko!ET487)</f>
        <v>1.0000000000000002</v>
      </c>
      <c r="U487" s="1979">
        <f>IF(Construction!$F$31=Construction!$R$22,Oeko!CH487,Oeko!EU487)</f>
        <v>1.0000000000000002</v>
      </c>
      <c r="V487" s="1979">
        <f>IF(Construction!$F$31=Construction!$R$22,Oeko!CI487,Oeko!EV487)</f>
        <v>1.0000000000000002</v>
      </c>
      <c r="W487" s="1979">
        <f>IF(Construction!$F$31=Construction!$R$22,Oeko!CJ487,Oeko!EW487)</f>
        <v>1.0000000000000002</v>
      </c>
      <c r="X487" s="1998">
        <f>IF(Construction!$F$31=Construction!$R$22,Oeko!CK487,Oeko!EX487)</f>
        <v>1</v>
      </c>
      <c r="Y487" s="1998">
        <f>IF(Construction!$F$31=Construction!$R$22,Oeko!CL487,Oeko!EY487)</f>
        <v>1</v>
      </c>
      <c r="Z487" s="1998">
        <f>IF(Construction!$F$31=Construction!$R$22,Oeko!CM487,Oeko!EZ487)</f>
        <v>1</v>
      </c>
      <c r="AA487" s="1998">
        <f>IF(Construction!$F$31=Construction!$R$22,Oeko!CN487,Oeko!FA487)</f>
        <v>1</v>
      </c>
      <c r="AB487" s="1998">
        <f>IF(Construction!$F$31=Construction!$R$22,Oeko!CO487,Oeko!FB487)</f>
        <v>1</v>
      </c>
      <c r="AC487" s="1979">
        <f>IF(Construction!$F$31=Construction!$R$22,Oeko!CP487,Oeko!FC487)</f>
        <v>1</v>
      </c>
      <c r="AD487" s="1979">
        <f>IF(Construction!$F$31=Construction!$R$22,Oeko!CQ487,Oeko!FD487)</f>
        <v>1</v>
      </c>
      <c r="AE487" s="1979">
        <f>IF(Construction!$F$31=Construction!$R$22,Oeko!CR487,Oeko!FE487)</f>
        <v>1</v>
      </c>
      <c r="AF487" s="1979">
        <f>IF(Construction!$F$31=Construction!$R$22,Oeko!CS487,Oeko!FF487)</f>
        <v>1</v>
      </c>
      <c r="AG487" s="1979">
        <f>IF(Construction!$F$31=Construction!$R$22,Oeko!CT487,Oeko!FG487)</f>
        <v>1</v>
      </c>
      <c r="AH487" s="1998">
        <f>IF(Construction!$F$31=Construction!$R$22,Oeko!CU487,Oeko!FH487)</f>
        <v>1</v>
      </c>
      <c r="AI487" s="1998">
        <f>IF(Construction!$F$31=Construction!$R$22,Oeko!CV487,Oeko!FI487)</f>
        <v>1</v>
      </c>
      <c r="AJ487" s="1998">
        <f>IF(Construction!$F$31=Construction!$R$22,Oeko!CW487,Oeko!FJ487)</f>
        <v>1</v>
      </c>
      <c r="AK487" s="1998">
        <f>IF(Construction!$F$31=Construction!$R$22,Oeko!CX487,Oeko!FK487)</f>
        <v>1</v>
      </c>
      <c r="AL487" s="1998">
        <f>IF(Construction!$F$31=Construction!$R$22,Oeko!CY487,Oeko!FL487)</f>
        <v>1</v>
      </c>
      <c r="AM487" s="1979">
        <f>IF(Construction!$F$31=Construction!$R$22,Oeko!CZ487,Oeko!FM487)</f>
        <v>0.66666666666666663</v>
      </c>
      <c r="AN487" s="1979">
        <f>IF(Construction!$F$31=Construction!$R$22,Oeko!DA487,Oeko!FN487)</f>
        <v>0.66666666666666663</v>
      </c>
      <c r="AO487" s="1979">
        <f>IF(Construction!$F$31=Construction!$R$22,Oeko!DB487,Oeko!FO487)</f>
        <v>0.66666666666666663</v>
      </c>
      <c r="AP487" s="1979">
        <f>IF(Construction!$F$31=Construction!$R$22,Oeko!DC487,Oeko!FP487)</f>
        <v>0.66666666666666663</v>
      </c>
      <c r="AQ487" s="1979">
        <f>IF(Construction!$F$31=Construction!$R$22,Oeko!DD487,Oeko!FQ487)</f>
        <v>0.66666666666666663</v>
      </c>
      <c r="AR487" s="1998">
        <f>IF(Construction!$F$31=Construction!$R$22,Oeko!DE487,Oeko!FR487)</f>
        <v>6.393590534721926</v>
      </c>
      <c r="AS487" s="1998">
        <f>IF(Construction!$F$31=Construction!$R$22,Oeko!DF487,Oeko!FS487)</f>
        <v>6.393590534721926</v>
      </c>
      <c r="AT487" s="1998">
        <f>IF(Construction!$F$31=Construction!$R$22,Oeko!DG487,Oeko!FT487)</f>
        <v>6.393590534721926</v>
      </c>
      <c r="AU487" s="1998">
        <f>IF(Construction!$F$31=Construction!$R$22,Oeko!DH487,Oeko!FU487)</f>
        <v>6.393590534721926</v>
      </c>
      <c r="AV487" s="1998">
        <f>IF(Construction!$F$31=Construction!$R$22,Oeko!DI487,Oeko!FV487)</f>
        <v>6.393590534721926</v>
      </c>
      <c r="AW487" s="1979">
        <f>IF(Construction!$F$31=Construction!$R$22,Oeko!DJ487,Oeko!FW487)</f>
        <v>6.3828999296522442</v>
      </c>
      <c r="AX487" s="1979">
        <f>IF(Construction!$F$31=Construction!$R$22,Oeko!DK487,Oeko!FX487)</f>
        <v>6.3828999296522442</v>
      </c>
      <c r="AY487" s="1979">
        <f>IF(Construction!$F$31=Construction!$R$22,Oeko!DL487,Oeko!FY487)</f>
        <v>6.3828999296522442</v>
      </c>
      <c r="AZ487" s="1979">
        <f>IF(Construction!$F$31=Construction!$R$22,Oeko!DM487,Oeko!FZ487)</f>
        <v>6.3828999296522442</v>
      </c>
      <c r="BA487" s="1979">
        <f>IF(Construction!$F$31=Construction!$R$22,Oeko!DN487,Oeko!GA487)</f>
        <v>6.3828999296522442</v>
      </c>
      <c r="BB487" s="1998">
        <f>IF(Construction!$F$31=Construction!$R$22,Oeko!DO487,Oeko!GB487)</f>
        <v>0.78115301620803501</v>
      </c>
      <c r="BC487" s="1998">
        <f>IF(Construction!$F$31=Construction!$R$22,Oeko!DP487,Oeko!GC487)</f>
        <v>0.78115301620803501</v>
      </c>
      <c r="BD487" s="1998">
        <f>IF(Construction!$F$31=Construction!$R$22,Oeko!DQ487,Oeko!GD487)</f>
        <v>0.78115301620803501</v>
      </c>
      <c r="BE487" s="1998">
        <f>IF(Construction!$F$31=Construction!$R$22,Oeko!DR487,Oeko!GE487)</f>
        <v>0.78115301620803501</v>
      </c>
      <c r="BF487" s="1998">
        <f>IF(Construction!$F$31=Construction!$R$22,Oeko!DS487,Oeko!GF487)</f>
        <v>0.78115301620803501</v>
      </c>
      <c r="BG487" s="1979">
        <f>IF(Construction!$F$31=Construction!$R$22,Oeko!DT487,Oeko!GG487)</f>
        <v>0.78195889917775152</v>
      </c>
      <c r="BH487" s="1979">
        <f>IF(Construction!$F$31=Construction!$R$22,Oeko!DU487,Oeko!GH487)</f>
        <v>0.78195889917775152</v>
      </c>
      <c r="BI487" s="1979">
        <f>IF(Construction!$F$31=Construction!$R$22,Oeko!DV487,Oeko!GI487)</f>
        <v>0.78195889917775152</v>
      </c>
      <c r="BJ487" s="1979">
        <f>IF(Construction!$F$31=Construction!$R$22,Oeko!DW487,Oeko!GJ487)</f>
        <v>0.78195889917775152</v>
      </c>
      <c r="BK487" s="2021">
        <f>IF(Construction!$F$31=Construction!$R$22,Oeko!DX487,Oeko!GK487)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IF(Construction!$F$31=Construction!$R$22,Oeko!BQ488,Oeko!ED488)</f>
        <v>1</v>
      </c>
      <c r="E488" s="1998">
        <f>IF(Construction!$F$31=Construction!$R$22,Oeko!BR488,Oeko!EE488)</f>
        <v>1</v>
      </c>
      <c r="F488" s="1998">
        <f>IF(Construction!$F$31=Construction!$R$22,Oeko!BS488,Oeko!EF488)</f>
        <v>1</v>
      </c>
      <c r="G488" s="1998">
        <f>IF(Construction!$F$31=Construction!$R$22,Oeko!BT488,Oeko!EG488)</f>
        <v>1</v>
      </c>
      <c r="H488" s="1998">
        <f>IF(Construction!$F$31=Construction!$R$22,Oeko!BU488,Oeko!EH488)</f>
        <v>1</v>
      </c>
      <c r="I488" s="1979">
        <f>IF(Construction!$F$31=Construction!$R$22,Oeko!BV488,Oeko!EI488)</f>
        <v>1</v>
      </c>
      <c r="J488" s="1979">
        <f>IF(Construction!$F$31=Construction!$R$22,Oeko!BW488,Oeko!EJ488)</f>
        <v>1</v>
      </c>
      <c r="K488" s="1979">
        <f>IF(Construction!$F$31=Construction!$R$22,Oeko!BX488,Oeko!EK488)</f>
        <v>1</v>
      </c>
      <c r="L488" s="1979">
        <f>IF(Construction!$F$31=Construction!$R$22,Oeko!BY488,Oeko!EL488)</f>
        <v>1</v>
      </c>
      <c r="M488" s="1979">
        <f>IF(Construction!$F$31=Construction!$R$22,Oeko!BZ488,Oeko!EM488)</f>
        <v>1</v>
      </c>
      <c r="N488" s="1998">
        <f>IF(Construction!$F$31=Construction!$R$22,Oeko!CA488,Oeko!EN488)</f>
        <v>1</v>
      </c>
      <c r="O488" s="1998">
        <f>IF(Construction!$F$31=Construction!$R$22,Oeko!CB488,Oeko!EO488)</f>
        <v>1</v>
      </c>
      <c r="P488" s="1998">
        <f>IF(Construction!$F$31=Construction!$R$22,Oeko!CC488,Oeko!EP488)</f>
        <v>1</v>
      </c>
      <c r="Q488" s="1998">
        <f>IF(Construction!$F$31=Construction!$R$22,Oeko!CD488,Oeko!EQ488)</f>
        <v>1</v>
      </c>
      <c r="R488" s="1998">
        <f>IF(Construction!$F$31=Construction!$R$22,Oeko!CE488,Oeko!ER488)</f>
        <v>1</v>
      </c>
      <c r="S488" s="1979">
        <f>IF(Construction!$F$31=Construction!$R$22,Oeko!CF488,Oeko!ES488)</f>
        <v>1</v>
      </c>
      <c r="T488" s="1979">
        <f>IF(Construction!$F$31=Construction!$R$22,Oeko!CG488,Oeko!ET488)</f>
        <v>1</v>
      </c>
      <c r="U488" s="1979">
        <f>IF(Construction!$F$31=Construction!$R$22,Oeko!CH488,Oeko!EU488)</f>
        <v>1</v>
      </c>
      <c r="V488" s="1979">
        <f>IF(Construction!$F$31=Construction!$R$22,Oeko!CI488,Oeko!EV488)</f>
        <v>1</v>
      </c>
      <c r="W488" s="1979">
        <f>IF(Construction!$F$31=Construction!$R$22,Oeko!CJ488,Oeko!EW488)</f>
        <v>1</v>
      </c>
      <c r="X488" s="1998">
        <f>IF(Construction!$F$31=Construction!$R$22,Oeko!CK488,Oeko!EX488)</f>
        <v>1</v>
      </c>
      <c r="Y488" s="1998">
        <f>IF(Construction!$F$31=Construction!$R$22,Oeko!CL488,Oeko!EY488)</f>
        <v>1</v>
      </c>
      <c r="Z488" s="1998">
        <f>IF(Construction!$F$31=Construction!$R$22,Oeko!CM488,Oeko!EZ488)</f>
        <v>1</v>
      </c>
      <c r="AA488" s="1998">
        <f>IF(Construction!$F$31=Construction!$R$22,Oeko!CN488,Oeko!FA488)</f>
        <v>1</v>
      </c>
      <c r="AB488" s="1998">
        <f>IF(Construction!$F$31=Construction!$R$22,Oeko!CO488,Oeko!FB488)</f>
        <v>1</v>
      </c>
      <c r="AC488" s="1979">
        <f>IF(Construction!$F$31=Construction!$R$22,Oeko!CP488,Oeko!FC488)</f>
        <v>1</v>
      </c>
      <c r="AD488" s="1979">
        <f>IF(Construction!$F$31=Construction!$R$22,Oeko!CQ488,Oeko!FD488)</f>
        <v>1</v>
      </c>
      <c r="AE488" s="1979">
        <f>IF(Construction!$F$31=Construction!$R$22,Oeko!CR488,Oeko!FE488)</f>
        <v>1</v>
      </c>
      <c r="AF488" s="1979">
        <f>IF(Construction!$F$31=Construction!$R$22,Oeko!CS488,Oeko!FF488)</f>
        <v>1</v>
      </c>
      <c r="AG488" s="1979">
        <f>IF(Construction!$F$31=Construction!$R$22,Oeko!CT488,Oeko!FG488)</f>
        <v>1</v>
      </c>
      <c r="AH488" s="1998">
        <f>IF(Construction!$F$31=Construction!$R$22,Oeko!CU488,Oeko!FH488)</f>
        <v>1</v>
      </c>
      <c r="AI488" s="1998">
        <f>IF(Construction!$F$31=Construction!$R$22,Oeko!CV488,Oeko!FI488)</f>
        <v>1</v>
      </c>
      <c r="AJ488" s="1998">
        <f>IF(Construction!$F$31=Construction!$R$22,Oeko!CW488,Oeko!FJ488)</f>
        <v>1</v>
      </c>
      <c r="AK488" s="1998">
        <f>IF(Construction!$F$31=Construction!$R$22,Oeko!CX488,Oeko!FK488)</f>
        <v>1</v>
      </c>
      <c r="AL488" s="1998">
        <f>IF(Construction!$F$31=Construction!$R$22,Oeko!CY488,Oeko!FL488)</f>
        <v>1</v>
      </c>
      <c r="AM488" s="1979">
        <f>IF(Construction!$F$31=Construction!$R$22,Oeko!CZ488,Oeko!FM488)</f>
        <v>1</v>
      </c>
      <c r="AN488" s="1979">
        <f>IF(Construction!$F$31=Construction!$R$22,Oeko!DA488,Oeko!FN488)</f>
        <v>1</v>
      </c>
      <c r="AO488" s="1979">
        <f>IF(Construction!$F$31=Construction!$R$22,Oeko!DB488,Oeko!FO488)</f>
        <v>1</v>
      </c>
      <c r="AP488" s="1979">
        <f>IF(Construction!$F$31=Construction!$R$22,Oeko!DC488,Oeko!FP488)</f>
        <v>1</v>
      </c>
      <c r="AQ488" s="1979">
        <f>IF(Construction!$F$31=Construction!$R$22,Oeko!DD488,Oeko!FQ488)</f>
        <v>1</v>
      </c>
      <c r="AR488" s="1998">
        <f>IF(Construction!$F$31=Construction!$R$22,Oeko!DE488,Oeko!FR488)</f>
        <v>1</v>
      </c>
      <c r="AS488" s="1998">
        <f>IF(Construction!$F$31=Construction!$R$22,Oeko!DF488,Oeko!FS488)</f>
        <v>1</v>
      </c>
      <c r="AT488" s="1998">
        <f>IF(Construction!$F$31=Construction!$R$22,Oeko!DG488,Oeko!FT488)</f>
        <v>1</v>
      </c>
      <c r="AU488" s="1998">
        <f>IF(Construction!$F$31=Construction!$R$22,Oeko!DH488,Oeko!FU488)</f>
        <v>1</v>
      </c>
      <c r="AV488" s="1998">
        <f>IF(Construction!$F$31=Construction!$R$22,Oeko!DI488,Oeko!FV488)</f>
        <v>1</v>
      </c>
      <c r="AW488" s="1979">
        <f>IF(Construction!$F$31=Construction!$R$22,Oeko!DJ488,Oeko!FW488)</f>
        <v>1</v>
      </c>
      <c r="AX488" s="1979">
        <f>IF(Construction!$F$31=Construction!$R$22,Oeko!DK488,Oeko!FX488)</f>
        <v>1</v>
      </c>
      <c r="AY488" s="1979">
        <f>IF(Construction!$F$31=Construction!$R$22,Oeko!DL488,Oeko!FY488)</f>
        <v>1</v>
      </c>
      <c r="AZ488" s="1979">
        <f>IF(Construction!$F$31=Construction!$R$22,Oeko!DM488,Oeko!FZ488)</f>
        <v>1</v>
      </c>
      <c r="BA488" s="1979">
        <f>IF(Construction!$F$31=Construction!$R$22,Oeko!DN488,Oeko!GA488)</f>
        <v>1</v>
      </c>
      <c r="BB488" s="1998">
        <f>IF(Construction!$F$31=Construction!$R$22,Oeko!DO488,Oeko!GB488)</f>
        <v>0.12461206483213953</v>
      </c>
      <c r="BC488" s="1998">
        <f>IF(Construction!$F$31=Construction!$R$22,Oeko!DP488,Oeko!GC488)</f>
        <v>0.12461206483213953</v>
      </c>
      <c r="BD488" s="1998">
        <f>IF(Construction!$F$31=Construction!$R$22,Oeko!DQ488,Oeko!GD488)</f>
        <v>0.12461206483213953</v>
      </c>
      <c r="BE488" s="1998">
        <f>IF(Construction!$F$31=Construction!$R$22,Oeko!DR488,Oeko!GE488)</f>
        <v>0.12461206483213953</v>
      </c>
      <c r="BF488" s="1998">
        <f>IF(Construction!$F$31=Construction!$R$22,Oeko!DS488,Oeko!GF488)</f>
        <v>0.12461206483213953</v>
      </c>
      <c r="BG488" s="1979">
        <f>IF(Construction!$F$31=Construction!$R$22,Oeko!DT488,Oeko!GG488)</f>
        <v>0.12783559671100567</v>
      </c>
      <c r="BH488" s="1979">
        <f>IF(Construction!$F$31=Construction!$R$22,Oeko!DU488,Oeko!GH488)</f>
        <v>0.12783559671100567</v>
      </c>
      <c r="BI488" s="1979">
        <f>IF(Construction!$F$31=Construction!$R$22,Oeko!DV488,Oeko!GI488)</f>
        <v>0.12783559671100567</v>
      </c>
      <c r="BJ488" s="1979">
        <f>IF(Construction!$F$31=Construction!$R$22,Oeko!DW488,Oeko!GJ488)</f>
        <v>0.12783559671100567</v>
      </c>
      <c r="BK488" s="2021">
        <f>IF(Construction!$F$31=Construction!$R$22,Oeko!DX488,Oeko!GK488)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IF(Construction!$F$31=Construction!$R$22,Oeko!BQ489,Oeko!ED489)</f>
        <v>1</v>
      </c>
      <c r="E489" s="1998">
        <f>IF(Construction!$F$31=Construction!$R$22,Oeko!BR489,Oeko!EE489)</f>
        <v>1</v>
      </c>
      <c r="F489" s="1998">
        <f>IF(Construction!$F$31=Construction!$R$22,Oeko!BS489,Oeko!EF489)</f>
        <v>1</v>
      </c>
      <c r="G489" s="1998">
        <f>IF(Construction!$F$31=Construction!$R$22,Oeko!BT489,Oeko!EG489)</f>
        <v>1</v>
      </c>
      <c r="H489" s="1998">
        <f>IF(Construction!$F$31=Construction!$R$22,Oeko!BU489,Oeko!EH489)</f>
        <v>1</v>
      </c>
      <c r="I489" s="1979">
        <f>IF(Construction!$F$31=Construction!$R$22,Oeko!BV489,Oeko!EI489)</f>
        <v>1</v>
      </c>
      <c r="J489" s="1979">
        <f>IF(Construction!$F$31=Construction!$R$22,Oeko!BW489,Oeko!EJ489)</f>
        <v>1</v>
      </c>
      <c r="K489" s="1979">
        <f>IF(Construction!$F$31=Construction!$R$22,Oeko!BX489,Oeko!EK489)</f>
        <v>1</v>
      </c>
      <c r="L489" s="1979">
        <f>IF(Construction!$F$31=Construction!$R$22,Oeko!BY489,Oeko!EL489)</f>
        <v>1</v>
      </c>
      <c r="M489" s="1979">
        <f>IF(Construction!$F$31=Construction!$R$22,Oeko!BZ489,Oeko!EM489)</f>
        <v>1</v>
      </c>
      <c r="N489" s="1998">
        <f>IF(Construction!$F$31=Construction!$R$22,Oeko!CA489,Oeko!EN489)</f>
        <v>1</v>
      </c>
      <c r="O489" s="1998">
        <f>IF(Construction!$F$31=Construction!$R$22,Oeko!CB489,Oeko!EO489)</f>
        <v>1</v>
      </c>
      <c r="P489" s="1998">
        <f>IF(Construction!$F$31=Construction!$R$22,Oeko!CC489,Oeko!EP489)</f>
        <v>1</v>
      </c>
      <c r="Q489" s="1998">
        <f>IF(Construction!$F$31=Construction!$R$22,Oeko!CD489,Oeko!EQ489)</f>
        <v>1</v>
      </c>
      <c r="R489" s="1998">
        <f>IF(Construction!$F$31=Construction!$R$22,Oeko!CE489,Oeko!ER489)</f>
        <v>1</v>
      </c>
      <c r="S489" s="1979">
        <f>IF(Construction!$F$31=Construction!$R$22,Oeko!CF489,Oeko!ES489)</f>
        <v>1</v>
      </c>
      <c r="T489" s="1979">
        <f>IF(Construction!$F$31=Construction!$R$22,Oeko!CG489,Oeko!ET489)</f>
        <v>1</v>
      </c>
      <c r="U489" s="1979">
        <f>IF(Construction!$F$31=Construction!$R$22,Oeko!CH489,Oeko!EU489)</f>
        <v>1</v>
      </c>
      <c r="V489" s="1979">
        <f>IF(Construction!$F$31=Construction!$R$22,Oeko!CI489,Oeko!EV489)</f>
        <v>1</v>
      </c>
      <c r="W489" s="1979">
        <f>IF(Construction!$F$31=Construction!$R$22,Oeko!CJ489,Oeko!EW489)</f>
        <v>1</v>
      </c>
      <c r="X489" s="1998">
        <f>IF(Construction!$F$31=Construction!$R$22,Oeko!CK489,Oeko!EX489)</f>
        <v>1</v>
      </c>
      <c r="Y489" s="1998">
        <f>IF(Construction!$F$31=Construction!$R$22,Oeko!CL489,Oeko!EY489)</f>
        <v>1</v>
      </c>
      <c r="Z489" s="1998">
        <f>IF(Construction!$F$31=Construction!$R$22,Oeko!CM489,Oeko!EZ489)</f>
        <v>1</v>
      </c>
      <c r="AA489" s="1998">
        <f>IF(Construction!$F$31=Construction!$R$22,Oeko!CN489,Oeko!FA489)</f>
        <v>1</v>
      </c>
      <c r="AB489" s="1998">
        <f>IF(Construction!$F$31=Construction!$R$22,Oeko!CO489,Oeko!FB489)</f>
        <v>1</v>
      </c>
      <c r="AC489" s="1979">
        <f>IF(Construction!$F$31=Construction!$R$22,Oeko!CP489,Oeko!FC489)</f>
        <v>1</v>
      </c>
      <c r="AD489" s="1979">
        <f>IF(Construction!$F$31=Construction!$R$22,Oeko!CQ489,Oeko!FD489)</f>
        <v>1</v>
      </c>
      <c r="AE489" s="1979">
        <f>IF(Construction!$F$31=Construction!$R$22,Oeko!CR489,Oeko!FE489)</f>
        <v>1</v>
      </c>
      <c r="AF489" s="1979">
        <f>IF(Construction!$F$31=Construction!$R$22,Oeko!CS489,Oeko!FF489)</f>
        <v>1</v>
      </c>
      <c r="AG489" s="1979">
        <f>IF(Construction!$F$31=Construction!$R$22,Oeko!CT489,Oeko!FG489)</f>
        <v>1</v>
      </c>
      <c r="AH489" s="1998">
        <f>IF(Construction!$F$31=Construction!$R$22,Oeko!CU489,Oeko!FH489)</f>
        <v>1</v>
      </c>
      <c r="AI489" s="1998">
        <f>IF(Construction!$F$31=Construction!$R$22,Oeko!CV489,Oeko!FI489)</f>
        <v>1</v>
      </c>
      <c r="AJ489" s="1998">
        <f>IF(Construction!$F$31=Construction!$R$22,Oeko!CW489,Oeko!FJ489)</f>
        <v>1</v>
      </c>
      <c r="AK489" s="1998">
        <f>IF(Construction!$F$31=Construction!$R$22,Oeko!CX489,Oeko!FK489)</f>
        <v>1</v>
      </c>
      <c r="AL489" s="1998">
        <f>IF(Construction!$F$31=Construction!$R$22,Oeko!CY489,Oeko!FL489)</f>
        <v>1</v>
      </c>
      <c r="AM489" s="1979">
        <f>IF(Construction!$F$31=Construction!$R$22,Oeko!CZ489,Oeko!FM489)</f>
        <v>1.1666666666666665</v>
      </c>
      <c r="AN489" s="1979">
        <f>IF(Construction!$F$31=Construction!$R$22,Oeko!DA489,Oeko!FN489)</f>
        <v>1.1666666666666665</v>
      </c>
      <c r="AO489" s="1979">
        <f>IF(Construction!$F$31=Construction!$R$22,Oeko!DB489,Oeko!FO489)</f>
        <v>1.1666666666666665</v>
      </c>
      <c r="AP489" s="1979">
        <f>IF(Construction!$F$31=Construction!$R$22,Oeko!DC489,Oeko!FP489)</f>
        <v>1.1666666666666665</v>
      </c>
      <c r="AQ489" s="1979">
        <f>IF(Construction!$F$31=Construction!$R$22,Oeko!DD489,Oeko!FQ489)</f>
        <v>1.1666666666666665</v>
      </c>
      <c r="AR489" s="1998">
        <f>IF(Construction!$F$31=Construction!$R$22,Oeko!DE489,Oeko!FR489)</f>
        <v>1</v>
      </c>
      <c r="AS489" s="1998">
        <f>IF(Construction!$F$31=Construction!$R$22,Oeko!DF489,Oeko!FS489)</f>
        <v>1</v>
      </c>
      <c r="AT489" s="1998">
        <f>IF(Construction!$F$31=Construction!$R$22,Oeko!DG489,Oeko!FT489)</f>
        <v>1</v>
      </c>
      <c r="AU489" s="1998">
        <f>IF(Construction!$F$31=Construction!$R$22,Oeko!DH489,Oeko!FU489)</f>
        <v>1</v>
      </c>
      <c r="AV489" s="1998">
        <f>IF(Construction!$F$31=Construction!$R$22,Oeko!DI489,Oeko!FV489)</f>
        <v>1</v>
      </c>
      <c r="AW489" s="1979">
        <f>IF(Construction!$F$31=Construction!$R$22,Oeko!DJ489,Oeko!FW489)</f>
        <v>1</v>
      </c>
      <c r="AX489" s="1979">
        <f>IF(Construction!$F$31=Construction!$R$22,Oeko!DK489,Oeko!FX489)</f>
        <v>1</v>
      </c>
      <c r="AY489" s="1979">
        <f>IF(Construction!$F$31=Construction!$R$22,Oeko!DL489,Oeko!FY489)</f>
        <v>1</v>
      </c>
      <c r="AZ489" s="1979">
        <f>IF(Construction!$F$31=Construction!$R$22,Oeko!DM489,Oeko!FZ489)</f>
        <v>1</v>
      </c>
      <c r="BA489" s="1979">
        <f>IF(Construction!$F$31=Construction!$R$22,Oeko!DN489,Oeko!GA489)</f>
        <v>1</v>
      </c>
      <c r="BB489" s="1998">
        <f>IF(Construction!$F$31=Construction!$R$22,Oeko!DO489,Oeko!GB489)</f>
        <v>0.12461206483213953</v>
      </c>
      <c r="BC489" s="1998">
        <f>IF(Construction!$F$31=Construction!$R$22,Oeko!DP489,Oeko!GC489)</f>
        <v>0.12461206483213953</v>
      </c>
      <c r="BD489" s="1998">
        <f>IF(Construction!$F$31=Construction!$R$22,Oeko!DQ489,Oeko!GD489)</f>
        <v>0.12461206483213953</v>
      </c>
      <c r="BE489" s="1998">
        <f>IF(Construction!$F$31=Construction!$R$22,Oeko!DR489,Oeko!GE489)</f>
        <v>0.12461206483213953</v>
      </c>
      <c r="BF489" s="1998">
        <f>IF(Construction!$F$31=Construction!$R$22,Oeko!DS489,Oeko!GF489)</f>
        <v>0.12461206483213953</v>
      </c>
      <c r="BG489" s="1979">
        <f>IF(Construction!$F$31=Construction!$R$22,Oeko!DT489,Oeko!GG489)</f>
        <v>0.12783559671100567</v>
      </c>
      <c r="BH489" s="1979">
        <f>IF(Construction!$F$31=Construction!$R$22,Oeko!DU489,Oeko!GH489)</f>
        <v>0.12783559671100567</v>
      </c>
      <c r="BI489" s="1979">
        <f>IF(Construction!$F$31=Construction!$R$22,Oeko!DV489,Oeko!GI489)</f>
        <v>0.12783559671100567</v>
      </c>
      <c r="BJ489" s="1979">
        <f>IF(Construction!$F$31=Construction!$R$22,Oeko!DW489,Oeko!GJ489)</f>
        <v>0.12783559671100567</v>
      </c>
      <c r="BK489" s="2021">
        <f>IF(Construction!$F$31=Construction!$R$22,Oeko!DX489,Oeko!GK489)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IF(Construction!$F$31=Construction!$R$22,Oeko!BQ490,Oeko!ED490)</f>
        <v>1.3333333333333333</v>
      </c>
      <c r="E490" s="1998">
        <f>IF(Construction!$F$31=Construction!$R$22,Oeko!BR490,Oeko!EE490)</f>
        <v>1.3333333333333333</v>
      </c>
      <c r="F490" s="1998">
        <f>IF(Construction!$F$31=Construction!$R$22,Oeko!BS490,Oeko!EF490)</f>
        <v>1.3333333333333333</v>
      </c>
      <c r="G490" s="1998">
        <f>IF(Construction!$F$31=Construction!$R$22,Oeko!BT490,Oeko!EG490)</f>
        <v>1.3333333333333333</v>
      </c>
      <c r="H490" s="1998">
        <f>IF(Construction!$F$31=Construction!$R$22,Oeko!BU490,Oeko!EH490)</f>
        <v>1.3333333333333333</v>
      </c>
      <c r="I490" s="1979">
        <f>IF(Construction!$F$31=Construction!$R$22,Oeko!BV490,Oeko!EI490)</f>
        <v>1</v>
      </c>
      <c r="J490" s="1979">
        <f>IF(Construction!$F$31=Construction!$R$22,Oeko!BW490,Oeko!EJ490)</f>
        <v>1</v>
      </c>
      <c r="K490" s="1979">
        <f>IF(Construction!$F$31=Construction!$R$22,Oeko!BX490,Oeko!EK490)</f>
        <v>1</v>
      </c>
      <c r="L490" s="1979">
        <f>IF(Construction!$F$31=Construction!$R$22,Oeko!BY490,Oeko!EL490)</f>
        <v>1</v>
      </c>
      <c r="M490" s="1979">
        <f>IF(Construction!$F$31=Construction!$R$22,Oeko!BZ490,Oeko!EM490)</f>
        <v>1</v>
      </c>
      <c r="N490" s="1998">
        <f>IF(Construction!$F$31=Construction!$R$22,Oeko!CA490,Oeko!EN490)</f>
        <v>1</v>
      </c>
      <c r="O490" s="1998">
        <f>IF(Construction!$F$31=Construction!$R$22,Oeko!CB490,Oeko!EO490)</f>
        <v>1</v>
      </c>
      <c r="P490" s="1998">
        <f>IF(Construction!$F$31=Construction!$R$22,Oeko!CC490,Oeko!EP490)</f>
        <v>1</v>
      </c>
      <c r="Q490" s="1998">
        <f>IF(Construction!$F$31=Construction!$R$22,Oeko!CD490,Oeko!EQ490)</f>
        <v>1</v>
      </c>
      <c r="R490" s="1998">
        <f>IF(Construction!$F$31=Construction!$R$22,Oeko!CE490,Oeko!ER490)</f>
        <v>1</v>
      </c>
      <c r="S490" s="1979">
        <f>IF(Construction!$F$31=Construction!$R$22,Oeko!CF490,Oeko!ES490)</f>
        <v>1</v>
      </c>
      <c r="T490" s="1979">
        <f>IF(Construction!$F$31=Construction!$R$22,Oeko!CG490,Oeko!ET490)</f>
        <v>1</v>
      </c>
      <c r="U490" s="1979">
        <f>IF(Construction!$F$31=Construction!$R$22,Oeko!CH490,Oeko!EU490)</f>
        <v>1</v>
      </c>
      <c r="V490" s="1979">
        <f>IF(Construction!$F$31=Construction!$R$22,Oeko!CI490,Oeko!EV490)</f>
        <v>1</v>
      </c>
      <c r="W490" s="1979">
        <f>IF(Construction!$F$31=Construction!$R$22,Oeko!CJ490,Oeko!EW490)</f>
        <v>1</v>
      </c>
      <c r="X490" s="1998">
        <f>IF(Construction!$F$31=Construction!$R$22,Oeko!CK490,Oeko!EX490)</f>
        <v>1</v>
      </c>
      <c r="Y490" s="1998">
        <f>IF(Construction!$F$31=Construction!$R$22,Oeko!CL490,Oeko!EY490)</f>
        <v>1</v>
      </c>
      <c r="Z490" s="1998">
        <f>IF(Construction!$F$31=Construction!$R$22,Oeko!CM490,Oeko!EZ490)</f>
        <v>1</v>
      </c>
      <c r="AA490" s="1998">
        <f>IF(Construction!$F$31=Construction!$R$22,Oeko!CN490,Oeko!FA490)</f>
        <v>1</v>
      </c>
      <c r="AB490" s="1998">
        <f>IF(Construction!$F$31=Construction!$R$22,Oeko!CO490,Oeko!FB490)</f>
        <v>1</v>
      </c>
      <c r="AC490" s="1979">
        <f>IF(Construction!$F$31=Construction!$R$22,Oeko!CP490,Oeko!FC490)</f>
        <v>1</v>
      </c>
      <c r="AD490" s="1979">
        <f>IF(Construction!$F$31=Construction!$R$22,Oeko!CQ490,Oeko!FD490)</f>
        <v>1</v>
      </c>
      <c r="AE490" s="1979">
        <f>IF(Construction!$F$31=Construction!$R$22,Oeko!CR490,Oeko!FE490)</f>
        <v>1</v>
      </c>
      <c r="AF490" s="1979">
        <f>IF(Construction!$F$31=Construction!$R$22,Oeko!CS490,Oeko!FF490)</f>
        <v>1</v>
      </c>
      <c r="AG490" s="1979">
        <f>IF(Construction!$F$31=Construction!$R$22,Oeko!CT490,Oeko!FG490)</f>
        <v>1</v>
      </c>
      <c r="AH490" s="1998">
        <f>IF(Construction!$F$31=Construction!$R$22,Oeko!CU490,Oeko!FH490)</f>
        <v>1</v>
      </c>
      <c r="AI490" s="1998">
        <f>IF(Construction!$F$31=Construction!$R$22,Oeko!CV490,Oeko!FI490)</f>
        <v>1</v>
      </c>
      <c r="AJ490" s="1998">
        <f>IF(Construction!$F$31=Construction!$R$22,Oeko!CW490,Oeko!FJ490)</f>
        <v>1</v>
      </c>
      <c r="AK490" s="1998">
        <f>IF(Construction!$F$31=Construction!$R$22,Oeko!CX490,Oeko!FK490)</f>
        <v>1</v>
      </c>
      <c r="AL490" s="1998">
        <f>IF(Construction!$F$31=Construction!$R$22,Oeko!CY490,Oeko!FL490)</f>
        <v>1</v>
      </c>
      <c r="AM490" s="1979">
        <f>IF(Construction!$F$31=Construction!$R$22,Oeko!CZ490,Oeko!FM490)</f>
        <v>1.3333333333333333</v>
      </c>
      <c r="AN490" s="1979">
        <f>IF(Construction!$F$31=Construction!$R$22,Oeko!DA490,Oeko!FN490)</f>
        <v>1.3333333333333333</v>
      </c>
      <c r="AO490" s="1979">
        <f>IF(Construction!$F$31=Construction!$R$22,Oeko!DB490,Oeko!FO490)</f>
        <v>1.3333333333333333</v>
      </c>
      <c r="AP490" s="1979">
        <f>IF(Construction!$F$31=Construction!$R$22,Oeko!DC490,Oeko!FP490)</f>
        <v>1.3333333333333333</v>
      </c>
      <c r="AQ490" s="1979">
        <f>IF(Construction!$F$31=Construction!$R$22,Oeko!DD490,Oeko!FQ490)</f>
        <v>1.3333333333333333</v>
      </c>
      <c r="AR490" s="1998">
        <f>IF(Construction!$F$31=Construction!$R$22,Oeko!DE490,Oeko!FR490)</f>
        <v>1</v>
      </c>
      <c r="AS490" s="1998">
        <f>IF(Construction!$F$31=Construction!$R$22,Oeko!DF490,Oeko!FS490)</f>
        <v>1</v>
      </c>
      <c r="AT490" s="1998">
        <f>IF(Construction!$F$31=Construction!$R$22,Oeko!DG490,Oeko!FT490)</f>
        <v>1</v>
      </c>
      <c r="AU490" s="1998">
        <f>IF(Construction!$F$31=Construction!$R$22,Oeko!DH490,Oeko!FU490)</f>
        <v>1</v>
      </c>
      <c r="AV490" s="1998">
        <f>IF(Construction!$F$31=Construction!$R$22,Oeko!DI490,Oeko!FV490)</f>
        <v>1</v>
      </c>
      <c r="AW490" s="1979">
        <f>IF(Construction!$F$31=Construction!$R$22,Oeko!DJ490,Oeko!FW490)</f>
        <v>1</v>
      </c>
      <c r="AX490" s="1979">
        <f>IF(Construction!$F$31=Construction!$R$22,Oeko!DK490,Oeko!FX490)</f>
        <v>1</v>
      </c>
      <c r="AY490" s="1979">
        <f>IF(Construction!$F$31=Construction!$R$22,Oeko!DL490,Oeko!FY490)</f>
        <v>1</v>
      </c>
      <c r="AZ490" s="1979">
        <f>IF(Construction!$F$31=Construction!$R$22,Oeko!DM490,Oeko!FZ490)</f>
        <v>1</v>
      </c>
      <c r="BA490" s="1979">
        <f>IF(Construction!$F$31=Construction!$R$22,Oeko!DN490,Oeko!GA490)</f>
        <v>1</v>
      </c>
      <c r="BB490" s="1998">
        <f>IF(Construction!$F$31=Construction!$R$22,Oeko!DO490,Oeko!GB490)</f>
        <v>0.12461206483213953</v>
      </c>
      <c r="BC490" s="1998">
        <f>IF(Construction!$F$31=Construction!$R$22,Oeko!DP490,Oeko!GC490)</f>
        <v>0.12461206483213953</v>
      </c>
      <c r="BD490" s="1998">
        <f>IF(Construction!$F$31=Construction!$R$22,Oeko!DQ490,Oeko!GD490)</f>
        <v>0.12461206483213953</v>
      </c>
      <c r="BE490" s="1998">
        <f>IF(Construction!$F$31=Construction!$R$22,Oeko!DR490,Oeko!GE490)</f>
        <v>0.12461206483213953</v>
      </c>
      <c r="BF490" s="1998">
        <f>IF(Construction!$F$31=Construction!$R$22,Oeko!DS490,Oeko!GF490)</f>
        <v>0.12461206483213953</v>
      </c>
      <c r="BG490" s="1979">
        <f>IF(Construction!$F$31=Construction!$R$22,Oeko!DT490,Oeko!GG490)</f>
        <v>0.12783559671100567</v>
      </c>
      <c r="BH490" s="1979">
        <f>IF(Construction!$F$31=Construction!$R$22,Oeko!DU490,Oeko!GH490)</f>
        <v>0.12783559671100567</v>
      </c>
      <c r="BI490" s="1979">
        <f>IF(Construction!$F$31=Construction!$R$22,Oeko!DV490,Oeko!GI490)</f>
        <v>0.12783559671100567</v>
      </c>
      <c r="BJ490" s="1979">
        <f>IF(Construction!$F$31=Construction!$R$22,Oeko!DW490,Oeko!GJ490)</f>
        <v>0.12783559671100567</v>
      </c>
      <c r="BK490" s="2021">
        <f>IF(Construction!$F$31=Construction!$R$22,Oeko!DX490,Oeko!GK490)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Fondation superficielle</v>
      </c>
      <c r="D491" s="1998">
        <f>IF(Construction!$F$31=Construction!$R$22,Oeko!BQ491,Oeko!ED491)</f>
        <v>1</v>
      </c>
      <c r="E491" s="1998">
        <f>IF(Construction!$F$31=Construction!$R$22,Oeko!BR491,Oeko!EE491)</f>
        <v>1</v>
      </c>
      <c r="F491" s="1998">
        <f>IF(Construction!$F$31=Construction!$R$22,Oeko!BS491,Oeko!EF491)</f>
        <v>1</v>
      </c>
      <c r="G491" s="1998">
        <f>IF(Construction!$F$31=Construction!$R$22,Oeko!BT491,Oeko!EG491)</f>
        <v>1</v>
      </c>
      <c r="H491" s="1998">
        <f>IF(Construction!$F$31=Construction!$R$22,Oeko!BU491,Oeko!EH491)</f>
        <v>1</v>
      </c>
      <c r="I491" s="1979">
        <f>IF(Construction!$F$31=Construction!$R$22,Oeko!BV491,Oeko!EI491)</f>
        <v>1</v>
      </c>
      <c r="J491" s="1979">
        <f>IF(Construction!$F$31=Construction!$R$22,Oeko!BW491,Oeko!EJ491)</f>
        <v>1</v>
      </c>
      <c r="K491" s="1979">
        <f>IF(Construction!$F$31=Construction!$R$22,Oeko!BX491,Oeko!EK491)</f>
        <v>1</v>
      </c>
      <c r="L491" s="1979">
        <f>IF(Construction!$F$31=Construction!$R$22,Oeko!BY491,Oeko!EL491)</f>
        <v>1</v>
      </c>
      <c r="M491" s="1979">
        <f>IF(Construction!$F$31=Construction!$R$22,Oeko!BZ491,Oeko!EM491)</f>
        <v>1</v>
      </c>
      <c r="N491" s="1998">
        <f>IF(Construction!$F$31=Construction!$R$22,Oeko!CA491,Oeko!EN491)</f>
        <v>1</v>
      </c>
      <c r="O491" s="1998">
        <f>IF(Construction!$F$31=Construction!$R$22,Oeko!CB491,Oeko!EO491)</f>
        <v>1</v>
      </c>
      <c r="P491" s="1998">
        <f>IF(Construction!$F$31=Construction!$R$22,Oeko!CC491,Oeko!EP491)</f>
        <v>1</v>
      </c>
      <c r="Q491" s="1998">
        <f>IF(Construction!$F$31=Construction!$R$22,Oeko!CD491,Oeko!EQ491)</f>
        <v>1</v>
      </c>
      <c r="R491" s="1998">
        <f>IF(Construction!$F$31=Construction!$R$22,Oeko!CE491,Oeko!ER491)</f>
        <v>1</v>
      </c>
      <c r="S491" s="1979">
        <f>IF(Construction!$F$31=Construction!$R$22,Oeko!CF491,Oeko!ES491)</f>
        <v>1</v>
      </c>
      <c r="T491" s="1979">
        <f>IF(Construction!$F$31=Construction!$R$22,Oeko!CG491,Oeko!ET491)</f>
        <v>1</v>
      </c>
      <c r="U491" s="1979">
        <f>IF(Construction!$F$31=Construction!$R$22,Oeko!CH491,Oeko!EU491)</f>
        <v>1</v>
      </c>
      <c r="V491" s="1979">
        <f>IF(Construction!$F$31=Construction!$R$22,Oeko!CI491,Oeko!EV491)</f>
        <v>1</v>
      </c>
      <c r="W491" s="1979">
        <f>IF(Construction!$F$31=Construction!$R$22,Oeko!CJ491,Oeko!EW491)</f>
        <v>1</v>
      </c>
      <c r="X491" s="1998">
        <f>IF(Construction!$F$31=Construction!$R$22,Oeko!CK491,Oeko!EX491)</f>
        <v>1</v>
      </c>
      <c r="Y491" s="1998">
        <f>IF(Construction!$F$31=Construction!$R$22,Oeko!CL491,Oeko!EY491)</f>
        <v>1</v>
      </c>
      <c r="Z491" s="1998">
        <f>IF(Construction!$F$31=Construction!$R$22,Oeko!CM491,Oeko!EZ491)</f>
        <v>1</v>
      </c>
      <c r="AA491" s="1998">
        <f>IF(Construction!$F$31=Construction!$R$22,Oeko!CN491,Oeko!FA491)</f>
        <v>1</v>
      </c>
      <c r="AB491" s="1998">
        <f>IF(Construction!$F$31=Construction!$R$22,Oeko!CO491,Oeko!FB491)</f>
        <v>1</v>
      </c>
      <c r="AC491" s="1979">
        <f>IF(Construction!$F$31=Construction!$R$22,Oeko!CP491,Oeko!FC491)</f>
        <v>1</v>
      </c>
      <c r="AD491" s="1979">
        <f>IF(Construction!$F$31=Construction!$R$22,Oeko!CQ491,Oeko!FD491)</f>
        <v>1</v>
      </c>
      <c r="AE491" s="1979">
        <f>IF(Construction!$F$31=Construction!$R$22,Oeko!CR491,Oeko!FE491)</f>
        <v>1</v>
      </c>
      <c r="AF491" s="1979">
        <f>IF(Construction!$F$31=Construction!$R$22,Oeko!CS491,Oeko!FF491)</f>
        <v>1</v>
      </c>
      <c r="AG491" s="1979">
        <f>IF(Construction!$F$31=Construction!$R$22,Oeko!CT491,Oeko!FG491)</f>
        <v>1</v>
      </c>
      <c r="AH491" s="1998">
        <f>IF(Construction!$F$31=Construction!$R$22,Oeko!CU491,Oeko!FH491)</f>
        <v>1</v>
      </c>
      <c r="AI491" s="1998">
        <f>IF(Construction!$F$31=Construction!$R$22,Oeko!CV491,Oeko!FI491)</f>
        <v>1</v>
      </c>
      <c r="AJ491" s="1998">
        <f>IF(Construction!$F$31=Construction!$R$22,Oeko!CW491,Oeko!FJ491)</f>
        <v>1</v>
      </c>
      <c r="AK491" s="1998">
        <f>IF(Construction!$F$31=Construction!$R$22,Oeko!CX491,Oeko!FK491)</f>
        <v>1</v>
      </c>
      <c r="AL491" s="1998">
        <f>IF(Construction!$F$31=Construction!$R$22,Oeko!CY491,Oeko!FL491)</f>
        <v>1</v>
      </c>
      <c r="AM491" s="1979">
        <f>IF(Construction!$F$31=Construction!$R$22,Oeko!CZ491,Oeko!FM491)</f>
        <v>1</v>
      </c>
      <c r="AN491" s="1979">
        <f>IF(Construction!$F$31=Construction!$R$22,Oeko!DA491,Oeko!FN491)</f>
        <v>1</v>
      </c>
      <c r="AO491" s="1979">
        <f>IF(Construction!$F$31=Construction!$R$22,Oeko!DB491,Oeko!FO491)</f>
        <v>1</v>
      </c>
      <c r="AP491" s="1979">
        <f>IF(Construction!$F$31=Construction!$R$22,Oeko!DC491,Oeko!FP491)</f>
        <v>1</v>
      </c>
      <c r="AQ491" s="1979">
        <f>IF(Construction!$F$31=Construction!$R$22,Oeko!DD491,Oeko!FQ491)</f>
        <v>1</v>
      </c>
      <c r="AR491" s="1998">
        <f>IF(Construction!$F$31=Construction!$R$22,Oeko!DE491,Oeko!FR491)</f>
        <v>1</v>
      </c>
      <c r="AS491" s="1998">
        <f>IF(Construction!$F$31=Construction!$R$22,Oeko!DF491,Oeko!FS491)</f>
        <v>1</v>
      </c>
      <c r="AT491" s="1998">
        <f>IF(Construction!$F$31=Construction!$R$22,Oeko!DG491,Oeko!FT491)</f>
        <v>1</v>
      </c>
      <c r="AU491" s="1998">
        <f>IF(Construction!$F$31=Construction!$R$22,Oeko!DH491,Oeko!FU491)</f>
        <v>1</v>
      </c>
      <c r="AV491" s="1998">
        <f>IF(Construction!$F$31=Construction!$R$22,Oeko!DI491,Oeko!FV491)</f>
        <v>1</v>
      </c>
      <c r="AW491" s="1979">
        <f>IF(Construction!$F$31=Construction!$R$22,Oeko!DJ491,Oeko!FW491)</f>
        <v>1</v>
      </c>
      <c r="AX491" s="1979">
        <f>IF(Construction!$F$31=Construction!$R$22,Oeko!DK491,Oeko!FX491)</f>
        <v>1</v>
      </c>
      <c r="AY491" s="1979">
        <f>IF(Construction!$F$31=Construction!$R$22,Oeko!DL491,Oeko!FY491)</f>
        <v>1</v>
      </c>
      <c r="AZ491" s="1979">
        <f>IF(Construction!$F$31=Construction!$R$22,Oeko!DM491,Oeko!FZ491)</f>
        <v>1</v>
      </c>
      <c r="BA491" s="1979">
        <f>IF(Construction!$F$31=Construction!$R$22,Oeko!DN491,Oeko!GA491)</f>
        <v>1</v>
      </c>
      <c r="BB491" s="1998">
        <f>IF(Construction!$F$31=Construction!$R$22,Oeko!DO491,Oeko!GB491)</f>
        <v>1</v>
      </c>
      <c r="BC491" s="1998">
        <f>IF(Construction!$F$31=Construction!$R$22,Oeko!DP491,Oeko!GC491)</f>
        <v>1</v>
      </c>
      <c r="BD491" s="1998">
        <f>IF(Construction!$F$31=Construction!$R$22,Oeko!DQ491,Oeko!GD491)</f>
        <v>1</v>
      </c>
      <c r="BE491" s="1998">
        <f>IF(Construction!$F$31=Construction!$R$22,Oeko!DR491,Oeko!GE491)</f>
        <v>1</v>
      </c>
      <c r="BF491" s="1998">
        <f>IF(Construction!$F$31=Construction!$R$22,Oeko!DS491,Oeko!GF491)</f>
        <v>1</v>
      </c>
      <c r="BG491" s="1979">
        <f>IF(Construction!$F$31=Construction!$R$22,Oeko!DT491,Oeko!GG491)</f>
        <v>1</v>
      </c>
      <c r="BH491" s="1979">
        <f>IF(Construction!$F$31=Construction!$R$22,Oeko!DU491,Oeko!GH491)</f>
        <v>1</v>
      </c>
      <c r="BI491" s="1979">
        <f>IF(Construction!$F$31=Construction!$R$22,Oeko!DV491,Oeko!GI491)</f>
        <v>1</v>
      </c>
      <c r="BJ491" s="1979">
        <f>IF(Construction!$F$31=Construction!$R$22,Oeko!DW491,Oeko!GJ491)</f>
        <v>1</v>
      </c>
      <c r="BK491" s="2021">
        <f>IF(Construction!$F$31=Construction!$R$22,Oeko!DX491,Oeko!GK491)</f>
        <v>1</v>
      </c>
      <c r="BN491" s="2022"/>
      <c r="BO491" s="2">
        <v>29</v>
      </c>
      <c r="BP491" s="2" t="str">
        <f>$AD$13</f>
        <v>Fondation superficielle</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Fondation superficielle</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Micro-pieux</v>
      </c>
      <c r="D492" s="1998">
        <f>IF(Construction!$F$31=Construction!$R$22,Oeko!BQ492,Oeko!ED492)</f>
        <v>1</v>
      </c>
      <c r="E492" s="1998">
        <f>IF(Construction!$F$31=Construction!$R$22,Oeko!BR492,Oeko!EE492)</f>
        <v>1</v>
      </c>
      <c r="F492" s="1998">
        <f>IF(Construction!$F$31=Construction!$R$22,Oeko!BS492,Oeko!EF492)</f>
        <v>1</v>
      </c>
      <c r="G492" s="1998">
        <f>IF(Construction!$F$31=Construction!$R$22,Oeko!BT492,Oeko!EG492)</f>
        <v>1</v>
      </c>
      <c r="H492" s="1998">
        <f>IF(Construction!$F$31=Construction!$R$22,Oeko!BU492,Oeko!EH492)</f>
        <v>1</v>
      </c>
      <c r="I492" s="1979">
        <f>IF(Construction!$F$31=Construction!$R$22,Oeko!BV492,Oeko!EI492)</f>
        <v>1</v>
      </c>
      <c r="J492" s="1979">
        <f>IF(Construction!$F$31=Construction!$R$22,Oeko!BW492,Oeko!EJ492)</f>
        <v>1</v>
      </c>
      <c r="K492" s="1979">
        <f>IF(Construction!$F$31=Construction!$R$22,Oeko!BX492,Oeko!EK492)</f>
        <v>1</v>
      </c>
      <c r="L492" s="1979">
        <f>IF(Construction!$F$31=Construction!$R$22,Oeko!BY492,Oeko!EL492)</f>
        <v>1</v>
      </c>
      <c r="M492" s="1979">
        <f>IF(Construction!$F$31=Construction!$R$22,Oeko!BZ492,Oeko!EM492)</f>
        <v>1</v>
      </c>
      <c r="N492" s="1998">
        <f>IF(Construction!$F$31=Construction!$R$22,Oeko!CA492,Oeko!EN492)</f>
        <v>1</v>
      </c>
      <c r="O492" s="1998">
        <f>IF(Construction!$F$31=Construction!$R$22,Oeko!CB492,Oeko!EO492)</f>
        <v>1</v>
      </c>
      <c r="P492" s="1998">
        <f>IF(Construction!$F$31=Construction!$R$22,Oeko!CC492,Oeko!EP492)</f>
        <v>1</v>
      </c>
      <c r="Q492" s="1998">
        <f>IF(Construction!$F$31=Construction!$R$22,Oeko!CD492,Oeko!EQ492)</f>
        <v>1</v>
      </c>
      <c r="R492" s="1998">
        <f>IF(Construction!$F$31=Construction!$R$22,Oeko!CE492,Oeko!ER492)</f>
        <v>1</v>
      </c>
      <c r="S492" s="1979">
        <f>IF(Construction!$F$31=Construction!$R$22,Oeko!CF492,Oeko!ES492)</f>
        <v>1</v>
      </c>
      <c r="T492" s="1979">
        <f>IF(Construction!$F$31=Construction!$R$22,Oeko!CG492,Oeko!ET492)</f>
        <v>1</v>
      </c>
      <c r="U492" s="1979">
        <f>IF(Construction!$F$31=Construction!$R$22,Oeko!CH492,Oeko!EU492)</f>
        <v>1</v>
      </c>
      <c r="V492" s="1979">
        <f>IF(Construction!$F$31=Construction!$R$22,Oeko!CI492,Oeko!EV492)</f>
        <v>1</v>
      </c>
      <c r="W492" s="1979">
        <f>IF(Construction!$F$31=Construction!$R$22,Oeko!CJ492,Oeko!EW492)</f>
        <v>1</v>
      </c>
      <c r="X492" s="1998">
        <f>IF(Construction!$F$31=Construction!$R$22,Oeko!CK492,Oeko!EX492)</f>
        <v>1</v>
      </c>
      <c r="Y492" s="1998">
        <f>IF(Construction!$F$31=Construction!$R$22,Oeko!CL492,Oeko!EY492)</f>
        <v>1</v>
      </c>
      <c r="Z492" s="1998">
        <f>IF(Construction!$F$31=Construction!$R$22,Oeko!CM492,Oeko!EZ492)</f>
        <v>1</v>
      </c>
      <c r="AA492" s="1998">
        <f>IF(Construction!$F$31=Construction!$R$22,Oeko!CN492,Oeko!FA492)</f>
        <v>1</v>
      </c>
      <c r="AB492" s="1998">
        <f>IF(Construction!$F$31=Construction!$R$22,Oeko!CO492,Oeko!FB492)</f>
        <v>1</v>
      </c>
      <c r="AC492" s="1979">
        <f>IF(Construction!$F$31=Construction!$R$22,Oeko!CP492,Oeko!FC492)</f>
        <v>1</v>
      </c>
      <c r="AD492" s="1979">
        <f>IF(Construction!$F$31=Construction!$R$22,Oeko!CQ492,Oeko!FD492)</f>
        <v>1</v>
      </c>
      <c r="AE492" s="1979">
        <f>IF(Construction!$F$31=Construction!$R$22,Oeko!CR492,Oeko!FE492)</f>
        <v>1</v>
      </c>
      <c r="AF492" s="1979">
        <f>IF(Construction!$F$31=Construction!$R$22,Oeko!CS492,Oeko!FF492)</f>
        <v>1</v>
      </c>
      <c r="AG492" s="1979">
        <f>IF(Construction!$F$31=Construction!$R$22,Oeko!CT492,Oeko!FG492)</f>
        <v>1</v>
      </c>
      <c r="AH492" s="1998">
        <f>IF(Construction!$F$31=Construction!$R$22,Oeko!CU492,Oeko!FH492)</f>
        <v>1</v>
      </c>
      <c r="AI492" s="1998">
        <f>IF(Construction!$F$31=Construction!$R$22,Oeko!CV492,Oeko!FI492)</f>
        <v>1</v>
      </c>
      <c r="AJ492" s="1998">
        <f>IF(Construction!$F$31=Construction!$R$22,Oeko!CW492,Oeko!FJ492)</f>
        <v>1</v>
      </c>
      <c r="AK492" s="1998">
        <f>IF(Construction!$F$31=Construction!$R$22,Oeko!CX492,Oeko!FK492)</f>
        <v>1</v>
      </c>
      <c r="AL492" s="1998">
        <f>IF(Construction!$F$31=Construction!$R$22,Oeko!CY492,Oeko!FL492)</f>
        <v>1</v>
      </c>
      <c r="AM492" s="1979">
        <f>IF(Construction!$F$31=Construction!$R$22,Oeko!CZ492,Oeko!FM492)</f>
        <v>1</v>
      </c>
      <c r="AN492" s="1979">
        <f>IF(Construction!$F$31=Construction!$R$22,Oeko!DA492,Oeko!FN492)</f>
        <v>1</v>
      </c>
      <c r="AO492" s="1979">
        <f>IF(Construction!$F$31=Construction!$R$22,Oeko!DB492,Oeko!FO492)</f>
        <v>1</v>
      </c>
      <c r="AP492" s="1979">
        <f>IF(Construction!$F$31=Construction!$R$22,Oeko!DC492,Oeko!FP492)</f>
        <v>1</v>
      </c>
      <c r="AQ492" s="1979">
        <f>IF(Construction!$F$31=Construction!$R$22,Oeko!DD492,Oeko!FQ492)</f>
        <v>1</v>
      </c>
      <c r="AR492" s="1998">
        <f>IF(Construction!$F$31=Construction!$R$22,Oeko!DE492,Oeko!FR492)</f>
        <v>1</v>
      </c>
      <c r="AS492" s="1998">
        <f>IF(Construction!$F$31=Construction!$R$22,Oeko!DF492,Oeko!FS492)</f>
        <v>1</v>
      </c>
      <c r="AT492" s="1998">
        <f>IF(Construction!$F$31=Construction!$R$22,Oeko!DG492,Oeko!FT492)</f>
        <v>1</v>
      </c>
      <c r="AU492" s="1998">
        <f>IF(Construction!$F$31=Construction!$R$22,Oeko!DH492,Oeko!FU492)</f>
        <v>1</v>
      </c>
      <c r="AV492" s="1998">
        <f>IF(Construction!$F$31=Construction!$R$22,Oeko!DI492,Oeko!FV492)</f>
        <v>1</v>
      </c>
      <c r="AW492" s="1979">
        <f>IF(Construction!$F$31=Construction!$R$22,Oeko!DJ492,Oeko!FW492)</f>
        <v>1</v>
      </c>
      <c r="AX492" s="1979">
        <f>IF(Construction!$F$31=Construction!$R$22,Oeko!DK492,Oeko!FX492)</f>
        <v>1</v>
      </c>
      <c r="AY492" s="1979">
        <f>IF(Construction!$F$31=Construction!$R$22,Oeko!DL492,Oeko!FY492)</f>
        <v>1</v>
      </c>
      <c r="AZ492" s="1979">
        <f>IF(Construction!$F$31=Construction!$R$22,Oeko!DM492,Oeko!FZ492)</f>
        <v>1</v>
      </c>
      <c r="BA492" s="1979">
        <f>IF(Construction!$F$31=Construction!$R$22,Oeko!DN492,Oeko!GA492)</f>
        <v>1</v>
      </c>
      <c r="BB492" s="1998">
        <f>IF(Construction!$F$31=Construction!$R$22,Oeko!DO492,Oeko!GB492)</f>
        <v>1</v>
      </c>
      <c r="BC492" s="1998">
        <f>IF(Construction!$F$31=Construction!$R$22,Oeko!DP492,Oeko!GC492)</f>
        <v>1</v>
      </c>
      <c r="BD492" s="1998">
        <f>IF(Construction!$F$31=Construction!$R$22,Oeko!DQ492,Oeko!GD492)</f>
        <v>1</v>
      </c>
      <c r="BE492" s="1998">
        <f>IF(Construction!$F$31=Construction!$R$22,Oeko!DR492,Oeko!GE492)</f>
        <v>1</v>
      </c>
      <c r="BF492" s="1998">
        <f>IF(Construction!$F$31=Construction!$R$22,Oeko!DS492,Oeko!GF492)</f>
        <v>1</v>
      </c>
      <c r="BG492" s="1979">
        <f>IF(Construction!$F$31=Construction!$R$22,Oeko!DT492,Oeko!GG492)</f>
        <v>1</v>
      </c>
      <c r="BH492" s="1979">
        <f>IF(Construction!$F$31=Construction!$R$22,Oeko!DU492,Oeko!GH492)</f>
        <v>1</v>
      </c>
      <c r="BI492" s="1979">
        <f>IF(Construction!$F$31=Construction!$R$22,Oeko!DV492,Oeko!GI492)</f>
        <v>1</v>
      </c>
      <c r="BJ492" s="1979">
        <f>IF(Construction!$F$31=Construction!$R$22,Oeko!DW492,Oeko!GJ492)</f>
        <v>1</v>
      </c>
      <c r="BK492" s="2021">
        <f>IF(Construction!$F$31=Construction!$R$22,Oeko!DX492,Oeko!GK492)</f>
        <v>1</v>
      </c>
      <c r="BN492" s="2022"/>
      <c r="BO492" s="2">
        <v>30</v>
      </c>
      <c r="BP492" s="2" t="str">
        <f>$AD$14</f>
        <v>Micro-pieux</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Micro-pieux</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Pieux en béton coulé sur place</v>
      </c>
      <c r="D493" s="1998">
        <f>IF(Construction!$F$31=Construction!$R$22,Oeko!BQ493,Oeko!ED493)</f>
        <v>1</v>
      </c>
      <c r="E493" s="1998">
        <f>IF(Construction!$F$31=Construction!$R$22,Oeko!BR493,Oeko!EE493)</f>
        <v>1</v>
      </c>
      <c r="F493" s="1998">
        <f>IF(Construction!$F$31=Construction!$R$22,Oeko!BS493,Oeko!EF493)</f>
        <v>1</v>
      </c>
      <c r="G493" s="1998">
        <f>IF(Construction!$F$31=Construction!$R$22,Oeko!BT493,Oeko!EG493)</f>
        <v>1</v>
      </c>
      <c r="H493" s="1998">
        <f>IF(Construction!$F$31=Construction!$R$22,Oeko!BU493,Oeko!EH493)</f>
        <v>1</v>
      </c>
      <c r="I493" s="1979">
        <f>IF(Construction!$F$31=Construction!$R$22,Oeko!BV493,Oeko!EI493)</f>
        <v>1</v>
      </c>
      <c r="J493" s="1979">
        <f>IF(Construction!$F$31=Construction!$R$22,Oeko!BW493,Oeko!EJ493)</f>
        <v>1</v>
      </c>
      <c r="K493" s="1979">
        <f>IF(Construction!$F$31=Construction!$R$22,Oeko!BX493,Oeko!EK493)</f>
        <v>1</v>
      </c>
      <c r="L493" s="1979">
        <f>IF(Construction!$F$31=Construction!$R$22,Oeko!BY493,Oeko!EL493)</f>
        <v>1</v>
      </c>
      <c r="M493" s="1979">
        <f>IF(Construction!$F$31=Construction!$R$22,Oeko!BZ493,Oeko!EM493)</f>
        <v>1</v>
      </c>
      <c r="N493" s="1998">
        <f>IF(Construction!$F$31=Construction!$R$22,Oeko!CA493,Oeko!EN493)</f>
        <v>1</v>
      </c>
      <c r="O493" s="1998">
        <f>IF(Construction!$F$31=Construction!$R$22,Oeko!CB493,Oeko!EO493)</f>
        <v>1</v>
      </c>
      <c r="P493" s="1998">
        <f>IF(Construction!$F$31=Construction!$R$22,Oeko!CC493,Oeko!EP493)</f>
        <v>1</v>
      </c>
      <c r="Q493" s="1998">
        <f>IF(Construction!$F$31=Construction!$R$22,Oeko!CD493,Oeko!EQ493)</f>
        <v>1</v>
      </c>
      <c r="R493" s="1998">
        <f>IF(Construction!$F$31=Construction!$R$22,Oeko!CE493,Oeko!ER493)</f>
        <v>1</v>
      </c>
      <c r="S493" s="1979">
        <f>IF(Construction!$F$31=Construction!$R$22,Oeko!CF493,Oeko!ES493)</f>
        <v>1</v>
      </c>
      <c r="T493" s="1979">
        <f>IF(Construction!$F$31=Construction!$R$22,Oeko!CG493,Oeko!ET493)</f>
        <v>1</v>
      </c>
      <c r="U493" s="1979">
        <f>IF(Construction!$F$31=Construction!$R$22,Oeko!CH493,Oeko!EU493)</f>
        <v>1</v>
      </c>
      <c r="V493" s="1979">
        <f>IF(Construction!$F$31=Construction!$R$22,Oeko!CI493,Oeko!EV493)</f>
        <v>1</v>
      </c>
      <c r="W493" s="1979">
        <f>IF(Construction!$F$31=Construction!$R$22,Oeko!CJ493,Oeko!EW493)</f>
        <v>1</v>
      </c>
      <c r="X493" s="1998">
        <f>IF(Construction!$F$31=Construction!$R$22,Oeko!CK493,Oeko!EX493)</f>
        <v>1</v>
      </c>
      <c r="Y493" s="1998">
        <f>IF(Construction!$F$31=Construction!$R$22,Oeko!CL493,Oeko!EY493)</f>
        <v>1</v>
      </c>
      <c r="Z493" s="1998">
        <f>IF(Construction!$F$31=Construction!$R$22,Oeko!CM493,Oeko!EZ493)</f>
        <v>1</v>
      </c>
      <c r="AA493" s="1998">
        <f>IF(Construction!$F$31=Construction!$R$22,Oeko!CN493,Oeko!FA493)</f>
        <v>1</v>
      </c>
      <c r="AB493" s="1998">
        <f>IF(Construction!$F$31=Construction!$R$22,Oeko!CO493,Oeko!FB493)</f>
        <v>1</v>
      </c>
      <c r="AC493" s="1979">
        <f>IF(Construction!$F$31=Construction!$R$22,Oeko!CP493,Oeko!FC493)</f>
        <v>1</v>
      </c>
      <c r="AD493" s="1979">
        <f>IF(Construction!$F$31=Construction!$R$22,Oeko!CQ493,Oeko!FD493)</f>
        <v>1</v>
      </c>
      <c r="AE493" s="1979">
        <f>IF(Construction!$F$31=Construction!$R$22,Oeko!CR493,Oeko!FE493)</f>
        <v>1</v>
      </c>
      <c r="AF493" s="1979">
        <f>IF(Construction!$F$31=Construction!$R$22,Oeko!CS493,Oeko!FF493)</f>
        <v>1</v>
      </c>
      <c r="AG493" s="1979">
        <f>IF(Construction!$F$31=Construction!$R$22,Oeko!CT493,Oeko!FG493)</f>
        <v>1</v>
      </c>
      <c r="AH493" s="1998">
        <f>IF(Construction!$F$31=Construction!$R$22,Oeko!CU493,Oeko!FH493)</f>
        <v>1</v>
      </c>
      <c r="AI493" s="1998">
        <f>IF(Construction!$F$31=Construction!$R$22,Oeko!CV493,Oeko!FI493)</f>
        <v>1</v>
      </c>
      <c r="AJ493" s="1998">
        <f>IF(Construction!$F$31=Construction!$R$22,Oeko!CW493,Oeko!FJ493)</f>
        <v>1</v>
      </c>
      <c r="AK493" s="1998">
        <f>IF(Construction!$F$31=Construction!$R$22,Oeko!CX493,Oeko!FK493)</f>
        <v>1</v>
      </c>
      <c r="AL493" s="1998">
        <f>IF(Construction!$F$31=Construction!$R$22,Oeko!CY493,Oeko!FL493)</f>
        <v>1</v>
      </c>
      <c r="AM493" s="1979">
        <f>IF(Construction!$F$31=Construction!$R$22,Oeko!CZ493,Oeko!FM493)</f>
        <v>1</v>
      </c>
      <c r="AN493" s="1979">
        <f>IF(Construction!$F$31=Construction!$R$22,Oeko!DA493,Oeko!FN493)</f>
        <v>1</v>
      </c>
      <c r="AO493" s="1979">
        <f>IF(Construction!$F$31=Construction!$R$22,Oeko!DB493,Oeko!FO493)</f>
        <v>1</v>
      </c>
      <c r="AP493" s="1979">
        <f>IF(Construction!$F$31=Construction!$R$22,Oeko!DC493,Oeko!FP493)</f>
        <v>1</v>
      </c>
      <c r="AQ493" s="1979">
        <f>IF(Construction!$F$31=Construction!$R$22,Oeko!DD493,Oeko!FQ493)</f>
        <v>1</v>
      </c>
      <c r="AR493" s="1998">
        <f>IF(Construction!$F$31=Construction!$R$22,Oeko!DE493,Oeko!FR493)</f>
        <v>1</v>
      </c>
      <c r="AS493" s="1998">
        <f>IF(Construction!$F$31=Construction!$R$22,Oeko!DF493,Oeko!FS493)</f>
        <v>1</v>
      </c>
      <c r="AT493" s="1998">
        <f>IF(Construction!$F$31=Construction!$R$22,Oeko!DG493,Oeko!FT493)</f>
        <v>1</v>
      </c>
      <c r="AU493" s="1998">
        <f>IF(Construction!$F$31=Construction!$R$22,Oeko!DH493,Oeko!FU493)</f>
        <v>1</v>
      </c>
      <c r="AV493" s="1998">
        <f>IF(Construction!$F$31=Construction!$R$22,Oeko!DI493,Oeko!FV493)</f>
        <v>1</v>
      </c>
      <c r="AW493" s="1979">
        <f>IF(Construction!$F$31=Construction!$R$22,Oeko!DJ493,Oeko!FW493)</f>
        <v>1</v>
      </c>
      <c r="AX493" s="1979">
        <f>IF(Construction!$F$31=Construction!$R$22,Oeko!DK493,Oeko!FX493)</f>
        <v>1</v>
      </c>
      <c r="AY493" s="1979">
        <f>IF(Construction!$F$31=Construction!$R$22,Oeko!DL493,Oeko!FY493)</f>
        <v>1</v>
      </c>
      <c r="AZ493" s="1979">
        <f>IF(Construction!$F$31=Construction!$R$22,Oeko!DM493,Oeko!FZ493)</f>
        <v>1</v>
      </c>
      <c r="BA493" s="1979">
        <f>IF(Construction!$F$31=Construction!$R$22,Oeko!DN493,Oeko!GA493)</f>
        <v>1</v>
      </c>
      <c r="BB493" s="1998">
        <f>IF(Construction!$F$31=Construction!$R$22,Oeko!DO493,Oeko!GB493)</f>
        <v>1</v>
      </c>
      <c r="BC493" s="1998">
        <f>IF(Construction!$F$31=Construction!$R$22,Oeko!DP493,Oeko!GC493)</f>
        <v>1</v>
      </c>
      <c r="BD493" s="1998">
        <f>IF(Construction!$F$31=Construction!$R$22,Oeko!DQ493,Oeko!GD493)</f>
        <v>1</v>
      </c>
      <c r="BE493" s="1998">
        <f>IF(Construction!$F$31=Construction!$R$22,Oeko!DR493,Oeko!GE493)</f>
        <v>1</v>
      </c>
      <c r="BF493" s="1998">
        <f>IF(Construction!$F$31=Construction!$R$22,Oeko!DS493,Oeko!GF493)</f>
        <v>1</v>
      </c>
      <c r="BG493" s="1979">
        <f>IF(Construction!$F$31=Construction!$R$22,Oeko!DT493,Oeko!GG493)</f>
        <v>1</v>
      </c>
      <c r="BH493" s="1979">
        <f>IF(Construction!$F$31=Construction!$R$22,Oeko!DU493,Oeko!GH493)</f>
        <v>1</v>
      </c>
      <c r="BI493" s="1979">
        <f>IF(Construction!$F$31=Construction!$R$22,Oeko!DV493,Oeko!GI493)</f>
        <v>1</v>
      </c>
      <c r="BJ493" s="1979">
        <f>IF(Construction!$F$31=Construction!$R$22,Oeko!DW493,Oeko!GJ493)</f>
        <v>1</v>
      </c>
      <c r="BK493" s="2021">
        <f>IF(Construction!$F$31=Construction!$R$22,Oeko!DX493,Oeko!GK493)</f>
        <v>1</v>
      </c>
      <c r="BN493" s="2022"/>
      <c r="BO493" s="2">
        <v>31</v>
      </c>
      <c r="BP493" s="2" t="str">
        <f>$AD$15</f>
        <v>Pieux en béton coulé sur place</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Pieux en béton coulé sur place</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Colonnes ballastées</v>
      </c>
      <c r="D494" s="1998">
        <f>IF(Construction!$F$31=Construction!$R$22,Oeko!BQ494,Oeko!ED494)</f>
        <v>1</v>
      </c>
      <c r="E494" s="1998">
        <f>IF(Construction!$F$31=Construction!$R$22,Oeko!BR494,Oeko!EE494)</f>
        <v>1</v>
      </c>
      <c r="F494" s="1998">
        <f>IF(Construction!$F$31=Construction!$R$22,Oeko!BS494,Oeko!EF494)</f>
        <v>1</v>
      </c>
      <c r="G494" s="1998">
        <f>IF(Construction!$F$31=Construction!$R$22,Oeko!BT494,Oeko!EG494)</f>
        <v>1</v>
      </c>
      <c r="H494" s="1998">
        <f>IF(Construction!$F$31=Construction!$R$22,Oeko!BU494,Oeko!EH494)</f>
        <v>1</v>
      </c>
      <c r="I494" s="1979">
        <f>IF(Construction!$F$31=Construction!$R$22,Oeko!BV494,Oeko!EI494)</f>
        <v>1</v>
      </c>
      <c r="J494" s="1979">
        <f>IF(Construction!$F$31=Construction!$R$22,Oeko!BW494,Oeko!EJ494)</f>
        <v>1</v>
      </c>
      <c r="K494" s="1979">
        <f>IF(Construction!$F$31=Construction!$R$22,Oeko!BX494,Oeko!EK494)</f>
        <v>1</v>
      </c>
      <c r="L494" s="1979">
        <f>IF(Construction!$F$31=Construction!$R$22,Oeko!BY494,Oeko!EL494)</f>
        <v>1</v>
      </c>
      <c r="M494" s="1979">
        <f>IF(Construction!$F$31=Construction!$R$22,Oeko!BZ494,Oeko!EM494)</f>
        <v>1</v>
      </c>
      <c r="N494" s="1998">
        <f>IF(Construction!$F$31=Construction!$R$22,Oeko!CA494,Oeko!EN494)</f>
        <v>1</v>
      </c>
      <c r="O494" s="1998">
        <f>IF(Construction!$F$31=Construction!$R$22,Oeko!CB494,Oeko!EO494)</f>
        <v>1</v>
      </c>
      <c r="P494" s="1998">
        <f>IF(Construction!$F$31=Construction!$R$22,Oeko!CC494,Oeko!EP494)</f>
        <v>1</v>
      </c>
      <c r="Q494" s="1998">
        <f>IF(Construction!$F$31=Construction!$R$22,Oeko!CD494,Oeko!EQ494)</f>
        <v>1</v>
      </c>
      <c r="R494" s="1998">
        <f>IF(Construction!$F$31=Construction!$R$22,Oeko!CE494,Oeko!ER494)</f>
        <v>1</v>
      </c>
      <c r="S494" s="1979">
        <f>IF(Construction!$F$31=Construction!$R$22,Oeko!CF494,Oeko!ES494)</f>
        <v>1</v>
      </c>
      <c r="T494" s="1979">
        <f>IF(Construction!$F$31=Construction!$R$22,Oeko!CG494,Oeko!ET494)</f>
        <v>1</v>
      </c>
      <c r="U494" s="1979">
        <f>IF(Construction!$F$31=Construction!$R$22,Oeko!CH494,Oeko!EU494)</f>
        <v>1</v>
      </c>
      <c r="V494" s="1979">
        <f>IF(Construction!$F$31=Construction!$R$22,Oeko!CI494,Oeko!EV494)</f>
        <v>1</v>
      </c>
      <c r="W494" s="1979">
        <f>IF(Construction!$F$31=Construction!$R$22,Oeko!CJ494,Oeko!EW494)</f>
        <v>1</v>
      </c>
      <c r="X494" s="1998">
        <f>IF(Construction!$F$31=Construction!$R$22,Oeko!CK494,Oeko!EX494)</f>
        <v>1</v>
      </c>
      <c r="Y494" s="1998">
        <f>IF(Construction!$F$31=Construction!$R$22,Oeko!CL494,Oeko!EY494)</f>
        <v>1</v>
      </c>
      <c r="Z494" s="1998">
        <f>IF(Construction!$F$31=Construction!$R$22,Oeko!CM494,Oeko!EZ494)</f>
        <v>1</v>
      </c>
      <c r="AA494" s="1998">
        <f>IF(Construction!$F$31=Construction!$R$22,Oeko!CN494,Oeko!FA494)</f>
        <v>1</v>
      </c>
      <c r="AB494" s="1998">
        <f>IF(Construction!$F$31=Construction!$R$22,Oeko!CO494,Oeko!FB494)</f>
        <v>1</v>
      </c>
      <c r="AC494" s="1979">
        <f>IF(Construction!$F$31=Construction!$R$22,Oeko!CP494,Oeko!FC494)</f>
        <v>1</v>
      </c>
      <c r="AD494" s="1979">
        <f>IF(Construction!$F$31=Construction!$R$22,Oeko!CQ494,Oeko!FD494)</f>
        <v>1</v>
      </c>
      <c r="AE494" s="1979">
        <f>IF(Construction!$F$31=Construction!$R$22,Oeko!CR494,Oeko!FE494)</f>
        <v>1</v>
      </c>
      <c r="AF494" s="1979">
        <f>IF(Construction!$F$31=Construction!$R$22,Oeko!CS494,Oeko!FF494)</f>
        <v>1</v>
      </c>
      <c r="AG494" s="1979">
        <f>IF(Construction!$F$31=Construction!$R$22,Oeko!CT494,Oeko!FG494)</f>
        <v>1</v>
      </c>
      <c r="AH494" s="1998">
        <f>IF(Construction!$F$31=Construction!$R$22,Oeko!CU494,Oeko!FH494)</f>
        <v>1</v>
      </c>
      <c r="AI494" s="1998">
        <f>IF(Construction!$F$31=Construction!$R$22,Oeko!CV494,Oeko!FI494)</f>
        <v>1</v>
      </c>
      <c r="AJ494" s="1998">
        <f>IF(Construction!$F$31=Construction!$R$22,Oeko!CW494,Oeko!FJ494)</f>
        <v>1</v>
      </c>
      <c r="AK494" s="1998">
        <f>IF(Construction!$F$31=Construction!$R$22,Oeko!CX494,Oeko!FK494)</f>
        <v>1</v>
      </c>
      <c r="AL494" s="1998">
        <f>IF(Construction!$F$31=Construction!$R$22,Oeko!CY494,Oeko!FL494)</f>
        <v>1</v>
      </c>
      <c r="AM494" s="1979">
        <f>IF(Construction!$F$31=Construction!$R$22,Oeko!CZ494,Oeko!FM494)</f>
        <v>1</v>
      </c>
      <c r="AN494" s="1979">
        <f>IF(Construction!$F$31=Construction!$R$22,Oeko!DA494,Oeko!FN494)</f>
        <v>1</v>
      </c>
      <c r="AO494" s="1979">
        <f>IF(Construction!$F$31=Construction!$R$22,Oeko!DB494,Oeko!FO494)</f>
        <v>1</v>
      </c>
      <c r="AP494" s="1979">
        <f>IF(Construction!$F$31=Construction!$R$22,Oeko!DC494,Oeko!FP494)</f>
        <v>1</v>
      </c>
      <c r="AQ494" s="1979">
        <f>IF(Construction!$F$31=Construction!$R$22,Oeko!DD494,Oeko!FQ494)</f>
        <v>1</v>
      </c>
      <c r="AR494" s="1998">
        <f>IF(Construction!$F$31=Construction!$R$22,Oeko!DE494,Oeko!FR494)</f>
        <v>1</v>
      </c>
      <c r="AS494" s="1998">
        <f>IF(Construction!$F$31=Construction!$R$22,Oeko!DF494,Oeko!FS494)</f>
        <v>1</v>
      </c>
      <c r="AT494" s="1998">
        <f>IF(Construction!$F$31=Construction!$R$22,Oeko!DG494,Oeko!FT494)</f>
        <v>1</v>
      </c>
      <c r="AU494" s="1998">
        <f>IF(Construction!$F$31=Construction!$R$22,Oeko!DH494,Oeko!FU494)</f>
        <v>1</v>
      </c>
      <c r="AV494" s="1998">
        <f>IF(Construction!$F$31=Construction!$R$22,Oeko!DI494,Oeko!FV494)</f>
        <v>1</v>
      </c>
      <c r="AW494" s="1979">
        <f>IF(Construction!$F$31=Construction!$R$22,Oeko!DJ494,Oeko!FW494)</f>
        <v>1</v>
      </c>
      <c r="AX494" s="1979">
        <f>IF(Construction!$F$31=Construction!$R$22,Oeko!DK494,Oeko!FX494)</f>
        <v>1</v>
      </c>
      <c r="AY494" s="1979">
        <f>IF(Construction!$F$31=Construction!$R$22,Oeko!DL494,Oeko!FY494)</f>
        <v>1</v>
      </c>
      <c r="AZ494" s="1979">
        <f>IF(Construction!$F$31=Construction!$R$22,Oeko!DM494,Oeko!FZ494)</f>
        <v>1</v>
      </c>
      <c r="BA494" s="1979">
        <f>IF(Construction!$F$31=Construction!$R$22,Oeko!DN494,Oeko!GA494)</f>
        <v>1</v>
      </c>
      <c r="BB494" s="1998">
        <f>IF(Construction!$F$31=Construction!$R$22,Oeko!DO494,Oeko!GB494)</f>
        <v>1</v>
      </c>
      <c r="BC494" s="1998">
        <f>IF(Construction!$F$31=Construction!$R$22,Oeko!DP494,Oeko!GC494)</f>
        <v>1</v>
      </c>
      <c r="BD494" s="1998">
        <f>IF(Construction!$F$31=Construction!$R$22,Oeko!DQ494,Oeko!GD494)</f>
        <v>1</v>
      </c>
      <c r="BE494" s="1998">
        <f>IF(Construction!$F$31=Construction!$R$22,Oeko!DR494,Oeko!GE494)</f>
        <v>1</v>
      </c>
      <c r="BF494" s="1998">
        <f>IF(Construction!$F$31=Construction!$R$22,Oeko!DS494,Oeko!GF494)</f>
        <v>1</v>
      </c>
      <c r="BG494" s="1979">
        <f>IF(Construction!$F$31=Construction!$R$22,Oeko!DT494,Oeko!GG494)</f>
        <v>1</v>
      </c>
      <c r="BH494" s="1979">
        <f>IF(Construction!$F$31=Construction!$R$22,Oeko!DU494,Oeko!GH494)</f>
        <v>1</v>
      </c>
      <c r="BI494" s="1979">
        <f>IF(Construction!$F$31=Construction!$R$22,Oeko!DV494,Oeko!GI494)</f>
        <v>1</v>
      </c>
      <c r="BJ494" s="1979">
        <f>IF(Construction!$F$31=Construction!$R$22,Oeko!DW494,Oeko!GJ494)</f>
        <v>1</v>
      </c>
      <c r="BK494" s="2021">
        <f>IF(Construction!$F$31=Construction!$R$22,Oeko!DX494,Oeko!GK494)</f>
        <v>1</v>
      </c>
      <c r="BN494" s="2022"/>
      <c r="BO494" s="2">
        <v>32</v>
      </c>
      <c r="BP494" s="2" t="str">
        <f>$AD$16</f>
        <v>Colonnes ballastées</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Colonnes ballastées</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Pieu en béton préfabriqué (battus)</v>
      </c>
      <c r="D495" s="1998">
        <f>IF(Construction!$F$31=Construction!$R$22,Oeko!BQ495,Oeko!ED495)</f>
        <v>1</v>
      </c>
      <c r="E495" s="1998">
        <f>IF(Construction!$F$31=Construction!$R$22,Oeko!BR495,Oeko!EE495)</f>
        <v>1</v>
      </c>
      <c r="F495" s="1998">
        <f>IF(Construction!$F$31=Construction!$R$22,Oeko!BS495,Oeko!EF495)</f>
        <v>1</v>
      </c>
      <c r="G495" s="1998">
        <f>IF(Construction!$F$31=Construction!$R$22,Oeko!BT495,Oeko!EG495)</f>
        <v>1</v>
      </c>
      <c r="H495" s="1998">
        <f>IF(Construction!$F$31=Construction!$R$22,Oeko!BU495,Oeko!EH495)</f>
        <v>1</v>
      </c>
      <c r="I495" s="1979">
        <f>IF(Construction!$F$31=Construction!$R$22,Oeko!BV495,Oeko!EI495)</f>
        <v>1</v>
      </c>
      <c r="J495" s="1979">
        <f>IF(Construction!$F$31=Construction!$R$22,Oeko!BW495,Oeko!EJ495)</f>
        <v>1</v>
      </c>
      <c r="K495" s="1979">
        <f>IF(Construction!$F$31=Construction!$R$22,Oeko!BX495,Oeko!EK495)</f>
        <v>1</v>
      </c>
      <c r="L495" s="1979">
        <f>IF(Construction!$F$31=Construction!$R$22,Oeko!BY495,Oeko!EL495)</f>
        <v>1</v>
      </c>
      <c r="M495" s="1979">
        <f>IF(Construction!$F$31=Construction!$R$22,Oeko!BZ495,Oeko!EM495)</f>
        <v>1</v>
      </c>
      <c r="N495" s="1998">
        <f>IF(Construction!$F$31=Construction!$R$22,Oeko!CA495,Oeko!EN495)</f>
        <v>1</v>
      </c>
      <c r="O495" s="1998">
        <f>IF(Construction!$F$31=Construction!$R$22,Oeko!CB495,Oeko!EO495)</f>
        <v>1</v>
      </c>
      <c r="P495" s="1998">
        <f>IF(Construction!$F$31=Construction!$R$22,Oeko!CC495,Oeko!EP495)</f>
        <v>1</v>
      </c>
      <c r="Q495" s="1998">
        <f>IF(Construction!$F$31=Construction!$R$22,Oeko!CD495,Oeko!EQ495)</f>
        <v>1</v>
      </c>
      <c r="R495" s="1998">
        <f>IF(Construction!$F$31=Construction!$R$22,Oeko!CE495,Oeko!ER495)</f>
        <v>1</v>
      </c>
      <c r="S495" s="1979">
        <f>IF(Construction!$F$31=Construction!$R$22,Oeko!CF495,Oeko!ES495)</f>
        <v>1</v>
      </c>
      <c r="T495" s="1979">
        <f>IF(Construction!$F$31=Construction!$R$22,Oeko!CG495,Oeko!ET495)</f>
        <v>1</v>
      </c>
      <c r="U495" s="1979">
        <f>IF(Construction!$F$31=Construction!$R$22,Oeko!CH495,Oeko!EU495)</f>
        <v>1</v>
      </c>
      <c r="V495" s="1979">
        <f>IF(Construction!$F$31=Construction!$R$22,Oeko!CI495,Oeko!EV495)</f>
        <v>1</v>
      </c>
      <c r="W495" s="1979">
        <f>IF(Construction!$F$31=Construction!$R$22,Oeko!CJ495,Oeko!EW495)</f>
        <v>1</v>
      </c>
      <c r="X495" s="1998">
        <f>IF(Construction!$F$31=Construction!$R$22,Oeko!CK495,Oeko!EX495)</f>
        <v>1</v>
      </c>
      <c r="Y495" s="1998">
        <f>IF(Construction!$F$31=Construction!$R$22,Oeko!CL495,Oeko!EY495)</f>
        <v>1</v>
      </c>
      <c r="Z495" s="1998">
        <f>IF(Construction!$F$31=Construction!$R$22,Oeko!CM495,Oeko!EZ495)</f>
        <v>1</v>
      </c>
      <c r="AA495" s="1998">
        <f>IF(Construction!$F$31=Construction!$R$22,Oeko!CN495,Oeko!FA495)</f>
        <v>1</v>
      </c>
      <c r="AB495" s="1998">
        <f>IF(Construction!$F$31=Construction!$R$22,Oeko!CO495,Oeko!FB495)</f>
        <v>1</v>
      </c>
      <c r="AC495" s="1979">
        <f>IF(Construction!$F$31=Construction!$R$22,Oeko!CP495,Oeko!FC495)</f>
        <v>1</v>
      </c>
      <c r="AD495" s="1979">
        <f>IF(Construction!$F$31=Construction!$R$22,Oeko!CQ495,Oeko!FD495)</f>
        <v>1</v>
      </c>
      <c r="AE495" s="1979">
        <f>IF(Construction!$F$31=Construction!$R$22,Oeko!CR495,Oeko!FE495)</f>
        <v>1</v>
      </c>
      <c r="AF495" s="1979">
        <f>IF(Construction!$F$31=Construction!$R$22,Oeko!CS495,Oeko!FF495)</f>
        <v>1</v>
      </c>
      <c r="AG495" s="1979">
        <f>IF(Construction!$F$31=Construction!$R$22,Oeko!CT495,Oeko!FG495)</f>
        <v>1</v>
      </c>
      <c r="AH495" s="1998">
        <f>IF(Construction!$F$31=Construction!$R$22,Oeko!CU495,Oeko!FH495)</f>
        <v>1</v>
      </c>
      <c r="AI495" s="1998">
        <f>IF(Construction!$F$31=Construction!$R$22,Oeko!CV495,Oeko!FI495)</f>
        <v>1</v>
      </c>
      <c r="AJ495" s="1998">
        <f>IF(Construction!$F$31=Construction!$R$22,Oeko!CW495,Oeko!FJ495)</f>
        <v>1</v>
      </c>
      <c r="AK495" s="1998">
        <f>IF(Construction!$F$31=Construction!$R$22,Oeko!CX495,Oeko!FK495)</f>
        <v>1</v>
      </c>
      <c r="AL495" s="1998">
        <f>IF(Construction!$F$31=Construction!$R$22,Oeko!CY495,Oeko!FL495)</f>
        <v>1</v>
      </c>
      <c r="AM495" s="1979">
        <f>IF(Construction!$F$31=Construction!$R$22,Oeko!CZ495,Oeko!FM495)</f>
        <v>1</v>
      </c>
      <c r="AN495" s="1979">
        <f>IF(Construction!$F$31=Construction!$R$22,Oeko!DA495,Oeko!FN495)</f>
        <v>1</v>
      </c>
      <c r="AO495" s="1979">
        <f>IF(Construction!$F$31=Construction!$R$22,Oeko!DB495,Oeko!FO495)</f>
        <v>1</v>
      </c>
      <c r="AP495" s="1979">
        <f>IF(Construction!$F$31=Construction!$R$22,Oeko!DC495,Oeko!FP495)</f>
        <v>1</v>
      </c>
      <c r="AQ495" s="1979">
        <f>IF(Construction!$F$31=Construction!$R$22,Oeko!DD495,Oeko!FQ495)</f>
        <v>1</v>
      </c>
      <c r="AR495" s="1998">
        <f>IF(Construction!$F$31=Construction!$R$22,Oeko!DE495,Oeko!FR495)</f>
        <v>1</v>
      </c>
      <c r="AS495" s="1998">
        <f>IF(Construction!$F$31=Construction!$R$22,Oeko!DF495,Oeko!FS495)</f>
        <v>1</v>
      </c>
      <c r="AT495" s="1998">
        <f>IF(Construction!$F$31=Construction!$R$22,Oeko!DG495,Oeko!FT495)</f>
        <v>1</v>
      </c>
      <c r="AU495" s="1998">
        <f>IF(Construction!$F$31=Construction!$R$22,Oeko!DH495,Oeko!FU495)</f>
        <v>1</v>
      </c>
      <c r="AV495" s="1998">
        <f>IF(Construction!$F$31=Construction!$R$22,Oeko!DI495,Oeko!FV495)</f>
        <v>1</v>
      </c>
      <c r="AW495" s="1979">
        <f>IF(Construction!$F$31=Construction!$R$22,Oeko!DJ495,Oeko!FW495)</f>
        <v>1</v>
      </c>
      <c r="AX495" s="1979">
        <f>IF(Construction!$F$31=Construction!$R$22,Oeko!DK495,Oeko!FX495)</f>
        <v>1</v>
      </c>
      <c r="AY495" s="1979">
        <f>IF(Construction!$F$31=Construction!$R$22,Oeko!DL495,Oeko!FY495)</f>
        <v>1</v>
      </c>
      <c r="AZ495" s="1979">
        <f>IF(Construction!$F$31=Construction!$R$22,Oeko!DM495,Oeko!FZ495)</f>
        <v>1</v>
      </c>
      <c r="BA495" s="1979">
        <f>IF(Construction!$F$31=Construction!$R$22,Oeko!DN495,Oeko!GA495)</f>
        <v>1</v>
      </c>
      <c r="BB495" s="1998">
        <f>IF(Construction!$F$31=Construction!$R$22,Oeko!DO495,Oeko!GB495)</f>
        <v>1</v>
      </c>
      <c r="BC495" s="1998">
        <f>IF(Construction!$F$31=Construction!$R$22,Oeko!DP495,Oeko!GC495)</f>
        <v>1</v>
      </c>
      <c r="BD495" s="1998">
        <f>IF(Construction!$F$31=Construction!$R$22,Oeko!DQ495,Oeko!GD495)</f>
        <v>1</v>
      </c>
      <c r="BE495" s="1998">
        <f>IF(Construction!$F$31=Construction!$R$22,Oeko!DR495,Oeko!GE495)</f>
        <v>1</v>
      </c>
      <c r="BF495" s="1998">
        <f>IF(Construction!$F$31=Construction!$R$22,Oeko!DS495,Oeko!GF495)</f>
        <v>1</v>
      </c>
      <c r="BG495" s="1979">
        <f>IF(Construction!$F$31=Construction!$R$22,Oeko!DT495,Oeko!GG495)</f>
        <v>1</v>
      </c>
      <c r="BH495" s="1979">
        <f>IF(Construction!$F$31=Construction!$R$22,Oeko!DU495,Oeko!GH495)</f>
        <v>1</v>
      </c>
      <c r="BI495" s="1979">
        <f>IF(Construction!$F$31=Construction!$R$22,Oeko!DV495,Oeko!GI495)</f>
        <v>1</v>
      </c>
      <c r="BJ495" s="1979">
        <f>IF(Construction!$F$31=Construction!$R$22,Oeko!DW495,Oeko!GJ495)</f>
        <v>1</v>
      </c>
      <c r="BK495" s="2021">
        <f>IF(Construction!$F$31=Construction!$R$22,Oeko!DX495,Oeko!GK495)</f>
        <v>1</v>
      </c>
      <c r="BN495" s="2022"/>
      <c r="BO495" s="2">
        <v>33</v>
      </c>
      <c r="BP495" s="2" t="str">
        <f>$AD$17</f>
        <v>Pieu en béton préfabriqué (battus)</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Pieu en béton préfabriqué (battus)</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IF(Construction!$F$31=Construction!$R$22,Oeko!BQ496,Oeko!ED496)</f>
        <v>1</v>
      </c>
      <c r="E496" s="1998">
        <f>IF(Construction!$F$31=Construction!$R$22,Oeko!BR496,Oeko!EE496)</f>
        <v>1</v>
      </c>
      <c r="F496" s="1998">
        <f>IF(Construction!$F$31=Construction!$R$22,Oeko!BS496,Oeko!EF496)</f>
        <v>1</v>
      </c>
      <c r="G496" s="1998">
        <f>IF(Construction!$F$31=Construction!$R$22,Oeko!BT496,Oeko!EG496)</f>
        <v>1</v>
      </c>
      <c r="H496" s="1998">
        <f>IF(Construction!$F$31=Construction!$R$22,Oeko!BU496,Oeko!EH496)</f>
        <v>1</v>
      </c>
      <c r="I496" s="1979">
        <f>IF(Construction!$F$31=Construction!$R$22,Oeko!BV496,Oeko!EI496)</f>
        <v>1</v>
      </c>
      <c r="J496" s="1979">
        <f>IF(Construction!$F$31=Construction!$R$22,Oeko!BW496,Oeko!EJ496)</f>
        <v>1</v>
      </c>
      <c r="K496" s="1979">
        <f>IF(Construction!$F$31=Construction!$R$22,Oeko!BX496,Oeko!EK496)</f>
        <v>1</v>
      </c>
      <c r="L496" s="1979">
        <f>IF(Construction!$F$31=Construction!$R$22,Oeko!BY496,Oeko!EL496)</f>
        <v>1</v>
      </c>
      <c r="M496" s="1979">
        <f>IF(Construction!$F$31=Construction!$R$22,Oeko!BZ496,Oeko!EM496)</f>
        <v>1</v>
      </c>
      <c r="N496" s="1998">
        <f>IF(Construction!$F$31=Construction!$R$22,Oeko!CA496,Oeko!EN496)</f>
        <v>1</v>
      </c>
      <c r="O496" s="1998">
        <f>IF(Construction!$F$31=Construction!$R$22,Oeko!CB496,Oeko!EO496)</f>
        <v>1</v>
      </c>
      <c r="P496" s="1998">
        <f>IF(Construction!$F$31=Construction!$R$22,Oeko!CC496,Oeko!EP496)</f>
        <v>1</v>
      </c>
      <c r="Q496" s="1998">
        <f>IF(Construction!$F$31=Construction!$R$22,Oeko!CD496,Oeko!EQ496)</f>
        <v>1</v>
      </c>
      <c r="R496" s="1998">
        <f>IF(Construction!$F$31=Construction!$R$22,Oeko!CE496,Oeko!ER496)</f>
        <v>1</v>
      </c>
      <c r="S496" s="1979">
        <f>IF(Construction!$F$31=Construction!$R$22,Oeko!CF496,Oeko!ES496)</f>
        <v>1</v>
      </c>
      <c r="T496" s="1979">
        <f>IF(Construction!$F$31=Construction!$R$22,Oeko!CG496,Oeko!ET496)</f>
        <v>1</v>
      </c>
      <c r="U496" s="1979">
        <f>IF(Construction!$F$31=Construction!$R$22,Oeko!CH496,Oeko!EU496)</f>
        <v>1</v>
      </c>
      <c r="V496" s="1979">
        <f>IF(Construction!$F$31=Construction!$R$22,Oeko!CI496,Oeko!EV496)</f>
        <v>1</v>
      </c>
      <c r="W496" s="1979">
        <f>IF(Construction!$F$31=Construction!$R$22,Oeko!CJ496,Oeko!EW496)</f>
        <v>1</v>
      </c>
      <c r="X496" s="1998">
        <f>IF(Construction!$F$31=Construction!$R$22,Oeko!CK496,Oeko!EX496)</f>
        <v>1</v>
      </c>
      <c r="Y496" s="1998">
        <f>IF(Construction!$F$31=Construction!$R$22,Oeko!CL496,Oeko!EY496)</f>
        <v>1</v>
      </c>
      <c r="Z496" s="1998">
        <f>IF(Construction!$F$31=Construction!$R$22,Oeko!CM496,Oeko!EZ496)</f>
        <v>1</v>
      </c>
      <c r="AA496" s="1998">
        <f>IF(Construction!$F$31=Construction!$R$22,Oeko!CN496,Oeko!FA496)</f>
        <v>1</v>
      </c>
      <c r="AB496" s="1998">
        <f>IF(Construction!$F$31=Construction!$R$22,Oeko!CO496,Oeko!FB496)</f>
        <v>1</v>
      </c>
      <c r="AC496" s="1979">
        <f>IF(Construction!$F$31=Construction!$R$22,Oeko!CP496,Oeko!FC496)</f>
        <v>1</v>
      </c>
      <c r="AD496" s="1979">
        <f>IF(Construction!$F$31=Construction!$R$22,Oeko!CQ496,Oeko!FD496)</f>
        <v>1</v>
      </c>
      <c r="AE496" s="1979">
        <f>IF(Construction!$F$31=Construction!$R$22,Oeko!CR496,Oeko!FE496)</f>
        <v>1</v>
      </c>
      <c r="AF496" s="1979">
        <f>IF(Construction!$F$31=Construction!$R$22,Oeko!CS496,Oeko!FF496)</f>
        <v>1</v>
      </c>
      <c r="AG496" s="1979">
        <f>IF(Construction!$F$31=Construction!$R$22,Oeko!CT496,Oeko!FG496)</f>
        <v>1</v>
      </c>
      <c r="AH496" s="1998">
        <f>IF(Construction!$F$31=Construction!$R$22,Oeko!CU496,Oeko!FH496)</f>
        <v>1</v>
      </c>
      <c r="AI496" s="1998">
        <f>IF(Construction!$F$31=Construction!$R$22,Oeko!CV496,Oeko!FI496)</f>
        <v>1</v>
      </c>
      <c r="AJ496" s="1998">
        <f>IF(Construction!$F$31=Construction!$R$22,Oeko!CW496,Oeko!FJ496)</f>
        <v>1</v>
      </c>
      <c r="AK496" s="1998">
        <f>IF(Construction!$F$31=Construction!$R$22,Oeko!CX496,Oeko!FK496)</f>
        <v>1</v>
      </c>
      <c r="AL496" s="1998">
        <f>IF(Construction!$F$31=Construction!$R$22,Oeko!CY496,Oeko!FL496)</f>
        <v>1</v>
      </c>
      <c r="AM496" s="1979">
        <f>IF(Construction!$F$31=Construction!$R$22,Oeko!CZ496,Oeko!FM496)</f>
        <v>1</v>
      </c>
      <c r="AN496" s="1979">
        <f>IF(Construction!$F$31=Construction!$R$22,Oeko!DA496,Oeko!FN496)</f>
        <v>1</v>
      </c>
      <c r="AO496" s="1979">
        <f>IF(Construction!$F$31=Construction!$R$22,Oeko!DB496,Oeko!FO496)</f>
        <v>1</v>
      </c>
      <c r="AP496" s="1979">
        <f>IF(Construction!$F$31=Construction!$R$22,Oeko!DC496,Oeko!FP496)</f>
        <v>1</v>
      </c>
      <c r="AQ496" s="1979">
        <f>IF(Construction!$F$31=Construction!$R$22,Oeko!DD496,Oeko!FQ496)</f>
        <v>1</v>
      </c>
      <c r="AR496" s="1998">
        <f>IF(Construction!$F$31=Construction!$R$22,Oeko!DE496,Oeko!FR496)</f>
        <v>1</v>
      </c>
      <c r="AS496" s="1998">
        <f>IF(Construction!$F$31=Construction!$R$22,Oeko!DF496,Oeko!FS496)</f>
        <v>1</v>
      </c>
      <c r="AT496" s="1998">
        <f>IF(Construction!$F$31=Construction!$R$22,Oeko!DG496,Oeko!FT496)</f>
        <v>1</v>
      </c>
      <c r="AU496" s="1998">
        <f>IF(Construction!$F$31=Construction!$R$22,Oeko!DH496,Oeko!FU496)</f>
        <v>1</v>
      </c>
      <c r="AV496" s="1998">
        <f>IF(Construction!$F$31=Construction!$R$22,Oeko!DI496,Oeko!FV496)</f>
        <v>1</v>
      </c>
      <c r="AW496" s="1979">
        <f>IF(Construction!$F$31=Construction!$R$22,Oeko!DJ496,Oeko!FW496)</f>
        <v>1</v>
      </c>
      <c r="AX496" s="1979">
        <f>IF(Construction!$F$31=Construction!$R$22,Oeko!DK496,Oeko!FX496)</f>
        <v>1</v>
      </c>
      <c r="AY496" s="1979">
        <f>IF(Construction!$F$31=Construction!$R$22,Oeko!DL496,Oeko!FY496)</f>
        <v>1</v>
      </c>
      <c r="AZ496" s="1979">
        <f>IF(Construction!$F$31=Construction!$R$22,Oeko!DM496,Oeko!FZ496)</f>
        <v>1</v>
      </c>
      <c r="BA496" s="1979">
        <f>IF(Construction!$F$31=Construction!$R$22,Oeko!DN496,Oeko!GA496)</f>
        <v>1</v>
      </c>
      <c r="BB496" s="1998">
        <f>IF(Construction!$F$31=Construction!$R$22,Oeko!DO496,Oeko!GB496)</f>
        <v>1</v>
      </c>
      <c r="BC496" s="1998">
        <f>IF(Construction!$F$31=Construction!$R$22,Oeko!DP496,Oeko!GC496)</f>
        <v>1</v>
      </c>
      <c r="BD496" s="1998">
        <f>IF(Construction!$F$31=Construction!$R$22,Oeko!DQ496,Oeko!GD496)</f>
        <v>1</v>
      </c>
      <c r="BE496" s="1998">
        <f>IF(Construction!$F$31=Construction!$R$22,Oeko!DR496,Oeko!GE496)</f>
        <v>1</v>
      </c>
      <c r="BF496" s="1998">
        <f>IF(Construction!$F$31=Construction!$R$22,Oeko!DS496,Oeko!GF496)</f>
        <v>1</v>
      </c>
      <c r="BG496" s="1979">
        <f>IF(Construction!$F$31=Construction!$R$22,Oeko!DT496,Oeko!GG496)</f>
        <v>1</v>
      </c>
      <c r="BH496" s="1979">
        <f>IF(Construction!$F$31=Construction!$R$22,Oeko!DU496,Oeko!GH496)</f>
        <v>1</v>
      </c>
      <c r="BI496" s="1979">
        <f>IF(Construction!$F$31=Construction!$R$22,Oeko!DV496,Oeko!GI496)</f>
        <v>1</v>
      </c>
      <c r="BJ496" s="1979">
        <f>IF(Construction!$F$31=Construction!$R$22,Oeko!DW496,Oeko!GJ496)</f>
        <v>1</v>
      </c>
      <c r="BK496" s="2021">
        <f>IF(Construction!$F$31=Construction!$R$22,Oeko!DX496,Oeko!GK496)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IF(Construction!$F$31=Construction!$R$22,Oeko!BQ497,Oeko!ED497)</f>
        <v>1</v>
      </c>
      <c r="E497" s="1998">
        <f>IF(Construction!$F$31=Construction!$R$22,Oeko!BR497,Oeko!EE497)</f>
        <v>1</v>
      </c>
      <c r="F497" s="1998">
        <f>IF(Construction!$F$31=Construction!$R$22,Oeko!BS497,Oeko!EF497)</f>
        <v>1</v>
      </c>
      <c r="G497" s="1998">
        <f>IF(Construction!$F$31=Construction!$R$22,Oeko!BT497,Oeko!EG497)</f>
        <v>1</v>
      </c>
      <c r="H497" s="1998">
        <f>IF(Construction!$F$31=Construction!$R$22,Oeko!BU497,Oeko!EH497)</f>
        <v>1</v>
      </c>
      <c r="I497" s="1979">
        <f>IF(Construction!$F$31=Construction!$R$22,Oeko!BV497,Oeko!EI497)</f>
        <v>1</v>
      </c>
      <c r="J497" s="1979">
        <f>IF(Construction!$F$31=Construction!$R$22,Oeko!BW497,Oeko!EJ497)</f>
        <v>1</v>
      </c>
      <c r="K497" s="1979">
        <f>IF(Construction!$F$31=Construction!$R$22,Oeko!BX497,Oeko!EK497)</f>
        <v>1</v>
      </c>
      <c r="L497" s="1979">
        <f>IF(Construction!$F$31=Construction!$R$22,Oeko!BY497,Oeko!EL497)</f>
        <v>1</v>
      </c>
      <c r="M497" s="1979">
        <f>IF(Construction!$F$31=Construction!$R$22,Oeko!BZ497,Oeko!EM497)</f>
        <v>1</v>
      </c>
      <c r="N497" s="1998">
        <f>IF(Construction!$F$31=Construction!$R$22,Oeko!CA497,Oeko!EN497)</f>
        <v>1</v>
      </c>
      <c r="O497" s="1998">
        <f>IF(Construction!$F$31=Construction!$R$22,Oeko!CB497,Oeko!EO497)</f>
        <v>1</v>
      </c>
      <c r="P497" s="1998">
        <f>IF(Construction!$F$31=Construction!$R$22,Oeko!CC497,Oeko!EP497)</f>
        <v>1</v>
      </c>
      <c r="Q497" s="1998">
        <f>IF(Construction!$F$31=Construction!$R$22,Oeko!CD497,Oeko!EQ497)</f>
        <v>1</v>
      </c>
      <c r="R497" s="1998">
        <f>IF(Construction!$F$31=Construction!$R$22,Oeko!CE497,Oeko!ER497)</f>
        <v>1</v>
      </c>
      <c r="S497" s="1979">
        <f>IF(Construction!$F$31=Construction!$R$22,Oeko!CF497,Oeko!ES497)</f>
        <v>1</v>
      </c>
      <c r="T497" s="1979">
        <f>IF(Construction!$F$31=Construction!$R$22,Oeko!CG497,Oeko!ET497)</f>
        <v>1</v>
      </c>
      <c r="U497" s="1979">
        <f>IF(Construction!$F$31=Construction!$R$22,Oeko!CH497,Oeko!EU497)</f>
        <v>1</v>
      </c>
      <c r="V497" s="1979">
        <f>IF(Construction!$F$31=Construction!$R$22,Oeko!CI497,Oeko!EV497)</f>
        <v>1</v>
      </c>
      <c r="W497" s="1979">
        <f>IF(Construction!$F$31=Construction!$R$22,Oeko!CJ497,Oeko!EW497)</f>
        <v>1</v>
      </c>
      <c r="X497" s="1998">
        <f>IF(Construction!$F$31=Construction!$R$22,Oeko!CK497,Oeko!EX497)</f>
        <v>1</v>
      </c>
      <c r="Y497" s="1998">
        <f>IF(Construction!$F$31=Construction!$R$22,Oeko!CL497,Oeko!EY497)</f>
        <v>1</v>
      </c>
      <c r="Z497" s="1998">
        <f>IF(Construction!$F$31=Construction!$R$22,Oeko!CM497,Oeko!EZ497)</f>
        <v>1</v>
      </c>
      <c r="AA497" s="1998">
        <f>IF(Construction!$F$31=Construction!$R$22,Oeko!CN497,Oeko!FA497)</f>
        <v>1</v>
      </c>
      <c r="AB497" s="1998">
        <f>IF(Construction!$F$31=Construction!$R$22,Oeko!CO497,Oeko!FB497)</f>
        <v>1</v>
      </c>
      <c r="AC497" s="1979">
        <f>IF(Construction!$F$31=Construction!$R$22,Oeko!CP497,Oeko!FC497)</f>
        <v>1</v>
      </c>
      <c r="AD497" s="1979">
        <f>IF(Construction!$F$31=Construction!$R$22,Oeko!CQ497,Oeko!FD497)</f>
        <v>1</v>
      </c>
      <c r="AE497" s="1979">
        <f>IF(Construction!$F$31=Construction!$R$22,Oeko!CR497,Oeko!FE497)</f>
        <v>1</v>
      </c>
      <c r="AF497" s="1979">
        <f>IF(Construction!$F$31=Construction!$R$22,Oeko!CS497,Oeko!FF497)</f>
        <v>1</v>
      </c>
      <c r="AG497" s="1979">
        <f>IF(Construction!$F$31=Construction!$R$22,Oeko!CT497,Oeko!FG497)</f>
        <v>1</v>
      </c>
      <c r="AH497" s="1998">
        <f>IF(Construction!$F$31=Construction!$R$22,Oeko!CU497,Oeko!FH497)</f>
        <v>1</v>
      </c>
      <c r="AI497" s="1998">
        <f>IF(Construction!$F$31=Construction!$R$22,Oeko!CV497,Oeko!FI497)</f>
        <v>1</v>
      </c>
      <c r="AJ497" s="1998">
        <f>IF(Construction!$F$31=Construction!$R$22,Oeko!CW497,Oeko!FJ497)</f>
        <v>1</v>
      </c>
      <c r="AK497" s="1998">
        <f>IF(Construction!$F$31=Construction!$R$22,Oeko!CX497,Oeko!FK497)</f>
        <v>1</v>
      </c>
      <c r="AL497" s="1998">
        <f>IF(Construction!$F$31=Construction!$R$22,Oeko!CY497,Oeko!FL497)</f>
        <v>1</v>
      </c>
      <c r="AM497" s="1979">
        <f>IF(Construction!$F$31=Construction!$R$22,Oeko!CZ497,Oeko!FM497)</f>
        <v>1</v>
      </c>
      <c r="AN497" s="1979">
        <f>IF(Construction!$F$31=Construction!$R$22,Oeko!DA497,Oeko!FN497)</f>
        <v>1</v>
      </c>
      <c r="AO497" s="1979">
        <f>IF(Construction!$F$31=Construction!$R$22,Oeko!DB497,Oeko!FO497)</f>
        <v>1</v>
      </c>
      <c r="AP497" s="1979">
        <f>IF(Construction!$F$31=Construction!$R$22,Oeko!DC497,Oeko!FP497)</f>
        <v>1</v>
      </c>
      <c r="AQ497" s="1979">
        <f>IF(Construction!$F$31=Construction!$R$22,Oeko!DD497,Oeko!FQ497)</f>
        <v>1</v>
      </c>
      <c r="AR497" s="1998">
        <f>IF(Construction!$F$31=Construction!$R$22,Oeko!DE497,Oeko!FR497)</f>
        <v>1</v>
      </c>
      <c r="AS497" s="1998">
        <f>IF(Construction!$F$31=Construction!$R$22,Oeko!DF497,Oeko!FS497)</f>
        <v>1</v>
      </c>
      <c r="AT497" s="1998">
        <f>IF(Construction!$F$31=Construction!$R$22,Oeko!DG497,Oeko!FT497)</f>
        <v>1</v>
      </c>
      <c r="AU497" s="1998">
        <f>IF(Construction!$F$31=Construction!$R$22,Oeko!DH497,Oeko!FU497)</f>
        <v>1</v>
      </c>
      <c r="AV497" s="1998">
        <f>IF(Construction!$F$31=Construction!$R$22,Oeko!DI497,Oeko!FV497)</f>
        <v>1</v>
      </c>
      <c r="AW497" s="1979">
        <f>IF(Construction!$F$31=Construction!$R$22,Oeko!DJ497,Oeko!FW497)</f>
        <v>1</v>
      </c>
      <c r="AX497" s="1979">
        <f>IF(Construction!$F$31=Construction!$R$22,Oeko!DK497,Oeko!FX497)</f>
        <v>1</v>
      </c>
      <c r="AY497" s="1979">
        <f>IF(Construction!$F$31=Construction!$R$22,Oeko!DL497,Oeko!FY497)</f>
        <v>1</v>
      </c>
      <c r="AZ497" s="1979">
        <f>IF(Construction!$F$31=Construction!$R$22,Oeko!DM497,Oeko!FZ497)</f>
        <v>1</v>
      </c>
      <c r="BA497" s="1979">
        <f>IF(Construction!$F$31=Construction!$R$22,Oeko!DN497,Oeko!GA497)</f>
        <v>1</v>
      </c>
      <c r="BB497" s="1998">
        <f>IF(Construction!$F$31=Construction!$R$22,Oeko!DO497,Oeko!GB497)</f>
        <v>1</v>
      </c>
      <c r="BC497" s="1998">
        <f>IF(Construction!$F$31=Construction!$R$22,Oeko!DP497,Oeko!GC497)</f>
        <v>1</v>
      </c>
      <c r="BD497" s="1998">
        <f>IF(Construction!$F$31=Construction!$R$22,Oeko!DQ497,Oeko!GD497)</f>
        <v>1</v>
      </c>
      <c r="BE497" s="1998">
        <f>IF(Construction!$F$31=Construction!$R$22,Oeko!DR497,Oeko!GE497)</f>
        <v>1</v>
      </c>
      <c r="BF497" s="1998">
        <f>IF(Construction!$F$31=Construction!$R$22,Oeko!DS497,Oeko!GF497)</f>
        <v>1</v>
      </c>
      <c r="BG497" s="1979">
        <f>IF(Construction!$F$31=Construction!$R$22,Oeko!DT497,Oeko!GG497)</f>
        <v>1</v>
      </c>
      <c r="BH497" s="1979">
        <f>IF(Construction!$F$31=Construction!$R$22,Oeko!DU497,Oeko!GH497)</f>
        <v>1</v>
      </c>
      <c r="BI497" s="1979">
        <f>IF(Construction!$F$31=Construction!$R$22,Oeko!DV497,Oeko!GI497)</f>
        <v>1</v>
      </c>
      <c r="BJ497" s="1979">
        <f>IF(Construction!$F$31=Construction!$R$22,Oeko!DW497,Oeko!GJ497)</f>
        <v>1</v>
      </c>
      <c r="BK497" s="2021">
        <f>IF(Construction!$F$31=Construction!$R$22,Oeko!DX497,Oeko!GK497)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IF(Construction!$F$31=Construction!$R$22,Oeko!BQ498,Oeko!ED498)</f>
        <v>1</v>
      </c>
      <c r="E498" s="1998">
        <f>IF(Construction!$F$31=Construction!$R$22,Oeko!BR498,Oeko!EE498)</f>
        <v>1</v>
      </c>
      <c r="F498" s="1998">
        <f>IF(Construction!$F$31=Construction!$R$22,Oeko!BS498,Oeko!EF498)</f>
        <v>1</v>
      </c>
      <c r="G498" s="1998">
        <f>IF(Construction!$F$31=Construction!$R$22,Oeko!BT498,Oeko!EG498)</f>
        <v>1</v>
      </c>
      <c r="H498" s="1998">
        <f>IF(Construction!$F$31=Construction!$R$22,Oeko!BU498,Oeko!EH498)</f>
        <v>1</v>
      </c>
      <c r="I498" s="1979">
        <f>IF(Construction!$F$31=Construction!$R$22,Oeko!BV498,Oeko!EI498)</f>
        <v>1</v>
      </c>
      <c r="J498" s="1979">
        <f>IF(Construction!$F$31=Construction!$R$22,Oeko!BW498,Oeko!EJ498)</f>
        <v>1</v>
      </c>
      <c r="K498" s="1979">
        <f>IF(Construction!$F$31=Construction!$R$22,Oeko!BX498,Oeko!EK498)</f>
        <v>1</v>
      </c>
      <c r="L498" s="1979">
        <f>IF(Construction!$F$31=Construction!$R$22,Oeko!BY498,Oeko!EL498)</f>
        <v>1</v>
      </c>
      <c r="M498" s="1979">
        <f>IF(Construction!$F$31=Construction!$R$22,Oeko!BZ498,Oeko!EM498)</f>
        <v>1</v>
      </c>
      <c r="N498" s="1998">
        <f>IF(Construction!$F$31=Construction!$R$22,Oeko!CA498,Oeko!EN498)</f>
        <v>1</v>
      </c>
      <c r="O498" s="1998">
        <f>IF(Construction!$F$31=Construction!$R$22,Oeko!CB498,Oeko!EO498)</f>
        <v>1</v>
      </c>
      <c r="P498" s="1998">
        <f>IF(Construction!$F$31=Construction!$R$22,Oeko!CC498,Oeko!EP498)</f>
        <v>1</v>
      </c>
      <c r="Q498" s="1998">
        <f>IF(Construction!$F$31=Construction!$R$22,Oeko!CD498,Oeko!EQ498)</f>
        <v>1</v>
      </c>
      <c r="R498" s="1998">
        <f>IF(Construction!$F$31=Construction!$R$22,Oeko!CE498,Oeko!ER498)</f>
        <v>1</v>
      </c>
      <c r="S498" s="1979">
        <f>IF(Construction!$F$31=Construction!$R$22,Oeko!CF498,Oeko!ES498)</f>
        <v>1</v>
      </c>
      <c r="T498" s="1979">
        <f>IF(Construction!$F$31=Construction!$R$22,Oeko!CG498,Oeko!ET498)</f>
        <v>1</v>
      </c>
      <c r="U498" s="1979">
        <f>IF(Construction!$F$31=Construction!$R$22,Oeko!CH498,Oeko!EU498)</f>
        <v>1</v>
      </c>
      <c r="V498" s="1979">
        <f>IF(Construction!$F$31=Construction!$R$22,Oeko!CI498,Oeko!EV498)</f>
        <v>1</v>
      </c>
      <c r="W498" s="1979">
        <f>IF(Construction!$F$31=Construction!$R$22,Oeko!CJ498,Oeko!EW498)</f>
        <v>1</v>
      </c>
      <c r="X498" s="1998">
        <f>IF(Construction!$F$31=Construction!$R$22,Oeko!CK498,Oeko!EX498)</f>
        <v>1</v>
      </c>
      <c r="Y498" s="1998">
        <f>IF(Construction!$F$31=Construction!$R$22,Oeko!CL498,Oeko!EY498)</f>
        <v>1</v>
      </c>
      <c r="Z498" s="1998">
        <f>IF(Construction!$F$31=Construction!$R$22,Oeko!CM498,Oeko!EZ498)</f>
        <v>1</v>
      </c>
      <c r="AA498" s="1998">
        <f>IF(Construction!$F$31=Construction!$R$22,Oeko!CN498,Oeko!FA498)</f>
        <v>1</v>
      </c>
      <c r="AB498" s="1998">
        <f>IF(Construction!$F$31=Construction!$R$22,Oeko!CO498,Oeko!FB498)</f>
        <v>1</v>
      </c>
      <c r="AC498" s="1979">
        <f>IF(Construction!$F$31=Construction!$R$22,Oeko!CP498,Oeko!FC498)</f>
        <v>1</v>
      </c>
      <c r="AD498" s="1979">
        <f>IF(Construction!$F$31=Construction!$R$22,Oeko!CQ498,Oeko!FD498)</f>
        <v>1</v>
      </c>
      <c r="AE498" s="1979">
        <f>IF(Construction!$F$31=Construction!$R$22,Oeko!CR498,Oeko!FE498)</f>
        <v>1</v>
      </c>
      <c r="AF498" s="1979">
        <f>IF(Construction!$F$31=Construction!$R$22,Oeko!CS498,Oeko!FF498)</f>
        <v>1</v>
      </c>
      <c r="AG498" s="1979">
        <f>IF(Construction!$F$31=Construction!$R$22,Oeko!CT498,Oeko!FG498)</f>
        <v>1</v>
      </c>
      <c r="AH498" s="1998">
        <f>IF(Construction!$F$31=Construction!$R$22,Oeko!CU498,Oeko!FH498)</f>
        <v>1</v>
      </c>
      <c r="AI498" s="1998">
        <f>IF(Construction!$F$31=Construction!$R$22,Oeko!CV498,Oeko!FI498)</f>
        <v>1</v>
      </c>
      <c r="AJ498" s="1998">
        <f>IF(Construction!$F$31=Construction!$R$22,Oeko!CW498,Oeko!FJ498)</f>
        <v>1</v>
      </c>
      <c r="AK498" s="1998">
        <f>IF(Construction!$F$31=Construction!$R$22,Oeko!CX498,Oeko!FK498)</f>
        <v>1</v>
      </c>
      <c r="AL498" s="1998">
        <f>IF(Construction!$F$31=Construction!$R$22,Oeko!CY498,Oeko!FL498)</f>
        <v>1</v>
      </c>
      <c r="AM498" s="1979">
        <f>IF(Construction!$F$31=Construction!$R$22,Oeko!CZ498,Oeko!FM498)</f>
        <v>1</v>
      </c>
      <c r="AN498" s="1979">
        <f>IF(Construction!$F$31=Construction!$R$22,Oeko!DA498,Oeko!FN498)</f>
        <v>1</v>
      </c>
      <c r="AO498" s="1979">
        <f>IF(Construction!$F$31=Construction!$R$22,Oeko!DB498,Oeko!FO498)</f>
        <v>1</v>
      </c>
      <c r="AP498" s="1979">
        <f>IF(Construction!$F$31=Construction!$R$22,Oeko!DC498,Oeko!FP498)</f>
        <v>1</v>
      </c>
      <c r="AQ498" s="1979">
        <f>IF(Construction!$F$31=Construction!$R$22,Oeko!DD498,Oeko!FQ498)</f>
        <v>1</v>
      </c>
      <c r="AR498" s="1998">
        <f>IF(Construction!$F$31=Construction!$R$22,Oeko!DE498,Oeko!FR498)</f>
        <v>1</v>
      </c>
      <c r="AS498" s="1998">
        <f>IF(Construction!$F$31=Construction!$R$22,Oeko!DF498,Oeko!FS498)</f>
        <v>1</v>
      </c>
      <c r="AT498" s="1998">
        <f>IF(Construction!$F$31=Construction!$R$22,Oeko!DG498,Oeko!FT498)</f>
        <v>1</v>
      </c>
      <c r="AU498" s="1998">
        <f>IF(Construction!$F$31=Construction!$R$22,Oeko!DH498,Oeko!FU498)</f>
        <v>1</v>
      </c>
      <c r="AV498" s="1998">
        <f>IF(Construction!$F$31=Construction!$R$22,Oeko!DI498,Oeko!FV498)</f>
        <v>1</v>
      </c>
      <c r="AW498" s="1979">
        <f>IF(Construction!$F$31=Construction!$R$22,Oeko!DJ498,Oeko!FW498)</f>
        <v>1</v>
      </c>
      <c r="AX498" s="1979">
        <f>IF(Construction!$F$31=Construction!$R$22,Oeko!DK498,Oeko!FX498)</f>
        <v>1</v>
      </c>
      <c r="AY498" s="1979">
        <f>IF(Construction!$F$31=Construction!$R$22,Oeko!DL498,Oeko!FY498)</f>
        <v>1</v>
      </c>
      <c r="AZ498" s="1979">
        <f>IF(Construction!$F$31=Construction!$R$22,Oeko!DM498,Oeko!FZ498)</f>
        <v>1</v>
      </c>
      <c r="BA498" s="1979">
        <f>IF(Construction!$F$31=Construction!$R$22,Oeko!DN498,Oeko!GA498)</f>
        <v>1</v>
      </c>
      <c r="BB498" s="1998">
        <f>IF(Construction!$F$31=Construction!$R$22,Oeko!DO498,Oeko!GB498)</f>
        <v>1</v>
      </c>
      <c r="BC498" s="1998">
        <f>IF(Construction!$F$31=Construction!$R$22,Oeko!DP498,Oeko!GC498)</f>
        <v>1</v>
      </c>
      <c r="BD498" s="1998">
        <f>IF(Construction!$F$31=Construction!$R$22,Oeko!DQ498,Oeko!GD498)</f>
        <v>1</v>
      </c>
      <c r="BE498" s="1998">
        <f>IF(Construction!$F$31=Construction!$R$22,Oeko!DR498,Oeko!GE498)</f>
        <v>1</v>
      </c>
      <c r="BF498" s="1998">
        <f>IF(Construction!$F$31=Construction!$R$22,Oeko!DS498,Oeko!GF498)</f>
        <v>1</v>
      </c>
      <c r="BG498" s="1979">
        <f>IF(Construction!$F$31=Construction!$R$22,Oeko!DT498,Oeko!GG498)</f>
        <v>1</v>
      </c>
      <c r="BH498" s="1979">
        <f>IF(Construction!$F$31=Construction!$R$22,Oeko!DU498,Oeko!GH498)</f>
        <v>1</v>
      </c>
      <c r="BI498" s="1979">
        <f>IF(Construction!$F$31=Construction!$R$22,Oeko!DV498,Oeko!GI498)</f>
        <v>1</v>
      </c>
      <c r="BJ498" s="1979">
        <f>IF(Construction!$F$31=Construction!$R$22,Oeko!DW498,Oeko!GJ498)</f>
        <v>1</v>
      </c>
      <c r="BK498" s="2021">
        <f>IF(Construction!$F$31=Construction!$R$22,Oeko!DX498,Oeko!GK498)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IF(Construction!$F$31=Construction!$R$22,Oeko!BQ499,Oeko!ED499)</f>
        <v>1</v>
      </c>
      <c r="E499" s="1998">
        <f>IF(Construction!$F$31=Construction!$R$22,Oeko!BR499,Oeko!EE499)</f>
        <v>1</v>
      </c>
      <c r="F499" s="1998">
        <f>IF(Construction!$F$31=Construction!$R$22,Oeko!BS499,Oeko!EF499)</f>
        <v>1</v>
      </c>
      <c r="G499" s="1998">
        <f>IF(Construction!$F$31=Construction!$R$22,Oeko!BT499,Oeko!EG499)</f>
        <v>1</v>
      </c>
      <c r="H499" s="1998">
        <f>IF(Construction!$F$31=Construction!$R$22,Oeko!BU499,Oeko!EH499)</f>
        <v>1</v>
      </c>
      <c r="I499" s="1979">
        <f>IF(Construction!$F$31=Construction!$R$22,Oeko!BV499,Oeko!EI499)</f>
        <v>1</v>
      </c>
      <c r="J499" s="1979">
        <f>IF(Construction!$F$31=Construction!$R$22,Oeko!BW499,Oeko!EJ499)</f>
        <v>1</v>
      </c>
      <c r="K499" s="1979">
        <f>IF(Construction!$F$31=Construction!$R$22,Oeko!BX499,Oeko!EK499)</f>
        <v>1</v>
      </c>
      <c r="L499" s="1979">
        <f>IF(Construction!$F$31=Construction!$R$22,Oeko!BY499,Oeko!EL499)</f>
        <v>1</v>
      </c>
      <c r="M499" s="1979">
        <f>IF(Construction!$F$31=Construction!$R$22,Oeko!BZ499,Oeko!EM499)</f>
        <v>1</v>
      </c>
      <c r="N499" s="1998">
        <f>IF(Construction!$F$31=Construction!$R$22,Oeko!CA499,Oeko!EN499)</f>
        <v>1</v>
      </c>
      <c r="O499" s="1998">
        <f>IF(Construction!$F$31=Construction!$R$22,Oeko!CB499,Oeko!EO499)</f>
        <v>1</v>
      </c>
      <c r="P499" s="1998">
        <f>IF(Construction!$F$31=Construction!$R$22,Oeko!CC499,Oeko!EP499)</f>
        <v>1</v>
      </c>
      <c r="Q499" s="1998">
        <f>IF(Construction!$F$31=Construction!$R$22,Oeko!CD499,Oeko!EQ499)</f>
        <v>1</v>
      </c>
      <c r="R499" s="1998">
        <f>IF(Construction!$F$31=Construction!$R$22,Oeko!CE499,Oeko!ER499)</f>
        <v>1</v>
      </c>
      <c r="S499" s="1979">
        <f>IF(Construction!$F$31=Construction!$R$22,Oeko!CF499,Oeko!ES499)</f>
        <v>1</v>
      </c>
      <c r="T499" s="1979">
        <f>IF(Construction!$F$31=Construction!$R$22,Oeko!CG499,Oeko!ET499)</f>
        <v>1</v>
      </c>
      <c r="U499" s="1979">
        <f>IF(Construction!$F$31=Construction!$R$22,Oeko!CH499,Oeko!EU499)</f>
        <v>1</v>
      </c>
      <c r="V499" s="1979">
        <f>IF(Construction!$F$31=Construction!$R$22,Oeko!CI499,Oeko!EV499)</f>
        <v>1</v>
      </c>
      <c r="W499" s="1979">
        <f>IF(Construction!$F$31=Construction!$R$22,Oeko!CJ499,Oeko!EW499)</f>
        <v>1</v>
      </c>
      <c r="X499" s="1998">
        <f>IF(Construction!$F$31=Construction!$R$22,Oeko!CK499,Oeko!EX499)</f>
        <v>1</v>
      </c>
      <c r="Y499" s="1998">
        <f>IF(Construction!$F$31=Construction!$R$22,Oeko!CL499,Oeko!EY499)</f>
        <v>1</v>
      </c>
      <c r="Z499" s="1998">
        <f>IF(Construction!$F$31=Construction!$R$22,Oeko!CM499,Oeko!EZ499)</f>
        <v>1</v>
      </c>
      <c r="AA499" s="1998">
        <f>IF(Construction!$F$31=Construction!$R$22,Oeko!CN499,Oeko!FA499)</f>
        <v>1</v>
      </c>
      <c r="AB499" s="1998">
        <f>IF(Construction!$F$31=Construction!$R$22,Oeko!CO499,Oeko!FB499)</f>
        <v>1</v>
      </c>
      <c r="AC499" s="1979">
        <f>IF(Construction!$F$31=Construction!$R$22,Oeko!CP499,Oeko!FC499)</f>
        <v>1</v>
      </c>
      <c r="AD499" s="1979">
        <f>IF(Construction!$F$31=Construction!$R$22,Oeko!CQ499,Oeko!FD499)</f>
        <v>1</v>
      </c>
      <c r="AE499" s="1979">
        <f>IF(Construction!$F$31=Construction!$R$22,Oeko!CR499,Oeko!FE499)</f>
        <v>1</v>
      </c>
      <c r="AF499" s="1979">
        <f>IF(Construction!$F$31=Construction!$R$22,Oeko!CS499,Oeko!FF499)</f>
        <v>1</v>
      </c>
      <c r="AG499" s="1979">
        <f>IF(Construction!$F$31=Construction!$R$22,Oeko!CT499,Oeko!FG499)</f>
        <v>1</v>
      </c>
      <c r="AH499" s="1998">
        <f>IF(Construction!$F$31=Construction!$R$22,Oeko!CU499,Oeko!FH499)</f>
        <v>1</v>
      </c>
      <c r="AI499" s="1998">
        <f>IF(Construction!$F$31=Construction!$R$22,Oeko!CV499,Oeko!FI499)</f>
        <v>1</v>
      </c>
      <c r="AJ499" s="1998">
        <f>IF(Construction!$F$31=Construction!$R$22,Oeko!CW499,Oeko!FJ499)</f>
        <v>1</v>
      </c>
      <c r="AK499" s="1998">
        <f>IF(Construction!$F$31=Construction!$R$22,Oeko!CX499,Oeko!FK499)</f>
        <v>1</v>
      </c>
      <c r="AL499" s="1998">
        <f>IF(Construction!$F$31=Construction!$R$22,Oeko!CY499,Oeko!FL499)</f>
        <v>1</v>
      </c>
      <c r="AM499" s="1979">
        <f>IF(Construction!$F$31=Construction!$R$22,Oeko!CZ499,Oeko!FM499)</f>
        <v>1</v>
      </c>
      <c r="AN499" s="1979">
        <f>IF(Construction!$F$31=Construction!$R$22,Oeko!DA499,Oeko!FN499)</f>
        <v>1</v>
      </c>
      <c r="AO499" s="1979">
        <f>IF(Construction!$F$31=Construction!$R$22,Oeko!DB499,Oeko!FO499)</f>
        <v>1</v>
      </c>
      <c r="AP499" s="1979">
        <f>IF(Construction!$F$31=Construction!$R$22,Oeko!DC499,Oeko!FP499)</f>
        <v>1</v>
      </c>
      <c r="AQ499" s="1979">
        <f>IF(Construction!$F$31=Construction!$R$22,Oeko!DD499,Oeko!FQ499)</f>
        <v>1</v>
      </c>
      <c r="AR499" s="1998">
        <f>IF(Construction!$F$31=Construction!$R$22,Oeko!DE499,Oeko!FR499)</f>
        <v>1</v>
      </c>
      <c r="AS499" s="1998">
        <f>IF(Construction!$F$31=Construction!$R$22,Oeko!DF499,Oeko!FS499)</f>
        <v>1</v>
      </c>
      <c r="AT499" s="1998">
        <f>IF(Construction!$F$31=Construction!$R$22,Oeko!DG499,Oeko!FT499)</f>
        <v>1</v>
      </c>
      <c r="AU499" s="1998">
        <f>IF(Construction!$F$31=Construction!$R$22,Oeko!DH499,Oeko!FU499)</f>
        <v>1</v>
      </c>
      <c r="AV499" s="1998">
        <f>IF(Construction!$F$31=Construction!$R$22,Oeko!DI499,Oeko!FV499)</f>
        <v>1</v>
      </c>
      <c r="AW499" s="1979">
        <f>IF(Construction!$F$31=Construction!$R$22,Oeko!DJ499,Oeko!FW499)</f>
        <v>1</v>
      </c>
      <c r="AX499" s="1979">
        <f>IF(Construction!$F$31=Construction!$R$22,Oeko!DK499,Oeko!FX499)</f>
        <v>1</v>
      </c>
      <c r="AY499" s="1979">
        <f>IF(Construction!$F$31=Construction!$R$22,Oeko!DL499,Oeko!FY499)</f>
        <v>1</v>
      </c>
      <c r="AZ499" s="1979">
        <f>IF(Construction!$F$31=Construction!$R$22,Oeko!DM499,Oeko!FZ499)</f>
        <v>1</v>
      </c>
      <c r="BA499" s="1979">
        <f>IF(Construction!$F$31=Construction!$R$22,Oeko!DN499,Oeko!GA499)</f>
        <v>1</v>
      </c>
      <c r="BB499" s="1998">
        <f>IF(Construction!$F$31=Construction!$R$22,Oeko!DO499,Oeko!GB499)</f>
        <v>1</v>
      </c>
      <c r="BC499" s="1998">
        <f>IF(Construction!$F$31=Construction!$R$22,Oeko!DP499,Oeko!GC499)</f>
        <v>1</v>
      </c>
      <c r="BD499" s="1998">
        <f>IF(Construction!$F$31=Construction!$R$22,Oeko!DQ499,Oeko!GD499)</f>
        <v>1</v>
      </c>
      <c r="BE499" s="1998">
        <f>IF(Construction!$F$31=Construction!$R$22,Oeko!DR499,Oeko!GE499)</f>
        <v>1</v>
      </c>
      <c r="BF499" s="1998">
        <f>IF(Construction!$F$31=Construction!$R$22,Oeko!DS499,Oeko!GF499)</f>
        <v>1</v>
      </c>
      <c r="BG499" s="1979">
        <f>IF(Construction!$F$31=Construction!$R$22,Oeko!DT499,Oeko!GG499)</f>
        <v>1</v>
      </c>
      <c r="BH499" s="1979">
        <f>IF(Construction!$F$31=Construction!$R$22,Oeko!DU499,Oeko!GH499)</f>
        <v>1</v>
      </c>
      <c r="BI499" s="1979">
        <f>IF(Construction!$F$31=Construction!$R$22,Oeko!DV499,Oeko!GI499)</f>
        <v>1</v>
      </c>
      <c r="BJ499" s="1979">
        <f>IF(Construction!$F$31=Construction!$R$22,Oeko!DW499,Oeko!GJ499)</f>
        <v>1</v>
      </c>
      <c r="BK499" s="2021">
        <f>IF(Construction!$F$31=Construction!$R$22,Oeko!DX499,Oeko!GK499)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IF(Construction!$F$31=Construction!$R$22,Oeko!BQ500,Oeko!ED500)</f>
        <v>1</v>
      </c>
      <c r="E500" s="1998">
        <f>IF(Construction!$F$31=Construction!$R$22,Oeko!BR500,Oeko!EE500)</f>
        <v>1</v>
      </c>
      <c r="F500" s="1998">
        <f>IF(Construction!$F$31=Construction!$R$22,Oeko!BS500,Oeko!EF500)</f>
        <v>1</v>
      </c>
      <c r="G500" s="1998">
        <f>IF(Construction!$F$31=Construction!$R$22,Oeko!BT500,Oeko!EG500)</f>
        <v>1</v>
      </c>
      <c r="H500" s="1998">
        <f>IF(Construction!$F$31=Construction!$R$22,Oeko!BU500,Oeko!EH500)</f>
        <v>1</v>
      </c>
      <c r="I500" s="1979">
        <f>IF(Construction!$F$31=Construction!$R$22,Oeko!BV500,Oeko!EI500)</f>
        <v>1</v>
      </c>
      <c r="J500" s="1979">
        <f>IF(Construction!$F$31=Construction!$R$22,Oeko!BW500,Oeko!EJ500)</f>
        <v>1</v>
      </c>
      <c r="K500" s="1979">
        <f>IF(Construction!$F$31=Construction!$R$22,Oeko!BX500,Oeko!EK500)</f>
        <v>1</v>
      </c>
      <c r="L500" s="1979">
        <f>IF(Construction!$F$31=Construction!$R$22,Oeko!BY500,Oeko!EL500)</f>
        <v>1</v>
      </c>
      <c r="M500" s="1979">
        <f>IF(Construction!$F$31=Construction!$R$22,Oeko!BZ500,Oeko!EM500)</f>
        <v>1</v>
      </c>
      <c r="N500" s="1998">
        <f>IF(Construction!$F$31=Construction!$R$22,Oeko!CA500,Oeko!EN500)</f>
        <v>1</v>
      </c>
      <c r="O500" s="1998">
        <f>IF(Construction!$F$31=Construction!$R$22,Oeko!CB500,Oeko!EO500)</f>
        <v>1</v>
      </c>
      <c r="P500" s="1998">
        <f>IF(Construction!$F$31=Construction!$R$22,Oeko!CC500,Oeko!EP500)</f>
        <v>1</v>
      </c>
      <c r="Q500" s="1998">
        <f>IF(Construction!$F$31=Construction!$R$22,Oeko!CD500,Oeko!EQ500)</f>
        <v>1</v>
      </c>
      <c r="R500" s="1998">
        <f>IF(Construction!$F$31=Construction!$R$22,Oeko!CE500,Oeko!ER500)</f>
        <v>1</v>
      </c>
      <c r="S500" s="1979">
        <f>IF(Construction!$F$31=Construction!$R$22,Oeko!CF500,Oeko!ES500)</f>
        <v>1</v>
      </c>
      <c r="T500" s="1979">
        <f>IF(Construction!$F$31=Construction!$R$22,Oeko!CG500,Oeko!ET500)</f>
        <v>1</v>
      </c>
      <c r="U500" s="1979">
        <f>IF(Construction!$F$31=Construction!$R$22,Oeko!CH500,Oeko!EU500)</f>
        <v>1</v>
      </c>
      <c r="V500" s="1979">
        <f>IF(Construction!$F$31=Construction!$R$22,Oeko!CI500,Oeko!EV500)</f>
        <v>1</v>
      </c>
      <c r="W500" s="1979">
        <f>IF(Construction!$F$31=Construction!$R$22,Oeko!CJ500,Oeko!EW500)</f>
        <v>1</v>
      </c>
      <c r="X500" s="1998">
        <f>IF(Construction!$F$31=Construction!$R$22,Oeko!CK500,Oeko!EX500)</f>
        <v>1</v>
      </c>
      <c r="Y500" s="1998">
        <f>IF(Construction!$F$31=Construction!$R$22,Oeko!CL500,Oeko!EY500)</f>
        <v>1</v>
      </c>
      <c r="Z500" s="1998">
        <f>IF(Construction!$F$31=Construction!$R$22,Oeko!CM500,Oeko!EZ500)</f>
        <v>1</v>
      </c>
      <c r="AA500" s="1998">
        <f>IF(Construction!$F$31=Construction!$R$22,Oeko!CN500,Oeko!FA500)</f>
        <v>1</v>
      </c>
      <c r="AB500" s="1998">
        <f>IF(Construction!$F$31=Construction!$R$22,Oeko!CO500,Oeko!FB500)</f>
        <v>1</v>
      </c>
      <c r="AC500" s="1979">
        <f>IF(Construction!$F$31=Construction!$R$22,Oeko!CP500,Oeko!FC500)</f>
        <v>1</v>
      </c>
      <c r="AD500" s="1979">
        <f>IF(Construction!$F$31=Construction!$R$22,Oeko!CQ500,Oeko!FD500)</f>
        <v>1</v>
      </c>
      <c r="AE500" s="1979">
        <f>IF(Construction!$F$31=Construction!$R$22,Oeko!CR500,Oeko!FE500)</f>
        <v>1</v>
      </c>
      <c r="AF500" s="1979">
        <f>IF(Construction!$F$31=Construction!$R$22,Oeko!CS500,Oeko!FF500)</f>
        <v>1</v>
      </c>
      <c r="AG500" s="1979">
        <f>IF(Construction!$F$31=Construction!$R$22,Oeko!CT500,Oeko!FG500)</f>
        <v>1</v>
      </c>
      <c r="AH500" s="1998">
        <f>IF(Construction!$F$31=Construction!$R$22,Oeko!CU500,Oeko!FH500)</f>
        <v>1</v>
      </c>
      <c r="AI500" s="1998">
        <f>IF(Construction!$F$31=Construction!$R$22,Oeko!CV500,Oeko!FI500)</f>
        <v>1</v>
      </c>
      <c r="AJ500" s="1998">
        <f>IF(Construction!$F$31=Construction!$R$22,Oeko!CW500,Oeko!FJ500)</f>
        <v>1</v>
      </c>
      <c r="AK500" s="1998">
        <f>IF(Construction!$F$31=Construction!$R$22,Oeko!CX500,Oeko!FK500)</f>
        <v>1</v>
      </c>
      <c r="AL500" s="1998">
        <f>IF(Construction!$F$31=Construction!$R$22,Oeko!CY500,Oeko!FL500)</f>
        <v>1</v>
      </c>
      <c r="AM500" s="1979">
        <f>IF(Construction!$F$31=Construction!$R$22,Oeko!CZ500,Oeko!FM500)</f>
        <v>1</v>
      </c>
      <c r="AN500" s="1979">
        <f>IF(Construction!$F$31=Construction!$R$22,Oeko!DA500,Oeko!FN500)</f>
        <v>1</v>
      </c>
      <c r="AO500" s="1979">
        <f>IF(Construction!$F$31=Construction!$R$22,Oeko!DB500,Oeko!FO500)</f>
        <v>1</v>
      </c>
      <c r="AP500" s="1979">
        <f>IF(Construction!$F$31=Construction!$R$22,Oeko!DC500,Oeko!FP500)</f>
        <v>1</v>
      </c>
      <c r="AQ500" s="1979">
        <f>IF(Construction!$F$31=Construction!$R$22,Oeko!DD500,Oeko!FQ500)</f>
        <v>1</v>
      </c>
      <c r="AR500" s="1998">
        <f>IF(Construction!$F$31=Construction!$R$22,Oeko!DE500,Oeko!FR500)</f>
        <v>1</v>
      </c>
      <c r="AS500" s="1998">
        <f>IF(Construction!$F$31=Construction!$R$22,Oeko!DF500,Oeko!FS500)</f>
        <v>1</v>
      </c>
      <c r="AT500" s="1998">
        <f>IF(Construction!$F$31=Construction!$R$22,Oeko!DG500,Oeko!FT500)</f>
        <v>1</v>
      </c>
      <c r="AU500" s="1998">
        <f>IF(Construction!$F$31=Construction!$R$22,Oeko!DH500,Oeko!FU500)</f>
        <v>1</v>
      </c>
      <c r="AV500" s="1998">
        <f>IF(Construction!$F$31=Construction!$R$22,Oeko!DI500,Oeko!FV500)</f>
        <v>1</v>
      </c>
      <c r="AW500" s="1979">
        <f>IF(Construction!$F$31=Construction!$R$22,Oeko!DJ500,Oeko!FW500)</f>
        <v>1</v>
      </c>
      <c r="AX500" s="1979">
        <f>IF(Construction!$F$31=Construction!$R$22,Oeko!DK500,Oeko!FX500)</f>
        <v>1</v>
      </c>
      <c r="AY500" s="1979">
        <f>IF(Construction!$F$31=Construction!$R$22,Oeko!DL500,Oeko!FY500)</f>
        <v>1</v>
      </c>
      <c r="AZ500" s="1979">
        <f>IF(Construction!$F$31=Construction!$R$22,Oeko!DM500,Oeko!FZ500)</f>
        <v>1</v>
      </c>
      <c r="BA500" s="1979">
        <f>IF(Construction!$F$31=Construction!$R$22,Oeko!DN500,Oeko!GA500)</f>
        <v>1</v>
      </c>
      <c r="BB500" s="1998">
        <f>IF(Construction!$F$31=Construction!$R$22,Oeko!DO500,Oeko!GB500)</f>
        <v>1</v>
      </c>
      <c r="BC500" s="1998">
        <f>IF(Construction!$F$31=Construction!$R$22,Oeko!DP500,Oeko!GC500)</f>
        <v>1</v>
      </c>
      <c r="BD500" s="1998">
        <f>IF(Construction!$F$31=Construction!$R$22,Oeko!DQ500,Oeko!GD500)</f>
        <v>1</v>
      </c>
      <c r="BE500" s="1998">
        <f>IF(Construction!$F$31=Construction!$R$22,Oeko!DR500,Oeko!GE500)</f>
        <v>1</v>
      </c>
      <c r="BF500" s="1998">
        <f>IF(Construction!$F$31=Construction!$R$22,Oeko!DS500,Oeko!GF500)</f>
        <v>1</v>
      </c>
      <c r="BG500" s="1979">
        <f>IF(Construction!$F$31=Construction!$R$22,Oeko!DT500,Oeko!GG500)</f>
        <v>1</v>
      </c>
      <c r="BH500" s="1979">
        <f>IF(Construction!$F$31=Construction!$R$22,Oeko!DU500,Oeko!GH500)</f>
        <v>1</v>
      </c>
      <c r="BI500" s="1979">
        <f>IF(Construction!$F$31=Construction!$R$22,Oeko!DV500,Oeko!GI500)</f>
        <v>1</v>
      </c>
      <c r="BJ500" s="1979">
        <f>IF(Construction!$F$31=Construction!$R$22,Oeko!DW500,Oeko!GJ500)</f>
        <v>1</v>
      </c>
      <c r="BK500" s="2021">
        <f>IF(Construction!$F$31=Construction!$R$22,Oeko!DX500,Oeko!GK500)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IF(Construction!$F$31=Construction!$R$22,Oeko!BQ501,Oeko!ED501)</f>
        <v>1</v>
      </c>
      <c r="E501" s="1998">
        <f>IF(Construction!$F$31=Construction!$R$22,Oeko!BR501,Oeko!EE501)</f>
        <v>1</v>
      </c>
      <c r="F501" s="1998">
        <f>IF(Construction!$F$31=Construction!$R$22,Oeko!BS501,Oeko!EF501)</f>
        <v>1</v>
      </c>
      <c r="G501" s="1998">
        <f>IF(Construction!$F$31=Construction!$R$22,Oeko!BT501,Oeko!EG501)</f>
        <v>1</v>
      </c>
      <c r="H501" s="1998">
        <f>IF(Construction!$F$31=Construction!$R$22,Oeko!BU501,Oeko!EH501)</f>
        <v>1</v>
      </c>
      <c r="I501" s="1979">
        <f>IF(Construction!$F$31=Construction!$R$22,Oeko!BV501,Oeko!EI501)</f>
        <v>1</v>
      </c>
      <c r="J501" s="1979">
        <f>IF(Construction!$F$31=Construction!$R$22,Oeko!BW501,Oeko!EJ501)</f>
        <v>1</v>
      </c>
      <c r="K501" s="1979">
        <f>IF(Construction!$F$31=Construction!$R$22,Oeko!BX501,Oeko!EK501)</f>
        <v>1</v>
      </c>
      <c r="L501" s="1979">
        <f>IF(Construction!$F$31=Construction!$R$22,Oeko!BY501,Oeko!EL501)</f>
        <v>1</v>
      </c>
      <c r="M501" s="1979">
        <f>IF(Construction!$F$31=Construction!$R$22,Oeko!BZ501,Oeko!EM501)</f>
        <v>1</v>
      </c>
      <c r="N501" s="1998">
        <f>IF(Construction!$F$31=Construction!$R$22,Oeko!CA501,Oeko!EN501)</f>
        <v>1</v>
      </c>
      <c r="O501" s="1998">
        <f>IF(Construction!$F$31=Construction!$R$22,Oeko!CB501,Oeko!EO501)</f>
        <v>1</v>
      </c>
      <c r="P501" s="1998">
        <f>IF(Construction!$F$31=Construction!$R$22,Oeko!CC501,Oeko!EP501)</f>
        <v>1</v>
      </c>
      <c r="Q501" s="1998">
        <f>IF(Construction!$F$31=Construction!$R$22,Oeko!CD501,Oeko!EQ501)</f>
        <v>1</v>
      </c>
      <c r="R501" s="1998">
        <f>IF(Construction!$F$31=Construction!$R$22,Oeko!CE501,Oeko!ER501)</f>
        <v>1</v>
      </c>
      <c r="S501" s="1979">
        <f>IF(Construction!$F$31=Construction!$R$22,Oeko!CF501,Oeko!ES501)</f>
        <v>1</v>
      </c>
      <c r="T501" s="1979">
        <f>IF(Construction!$F$31=Construction!$R$22,Oeko!CG501,Oeko!ET501)</f>
        <v>1</v>
      </c>
      <c r="U501" s="1979">
        <f>IF(Construction!$F$31=Construction!$R$22,Oeko!CH501,Oeko!EU501)</f>
        <v>1</v>
      </c>
      <c r="V501" s="1979">
        <f>IF(Construction!$F$31=Construction!$R$22,Oeko!CI501,Oeko!EV501)</f>
        <v>1</v>
      </c>
      <c r="W501" s="1979">
        <f>IF(Construction!$F$31=Construction!$R$22,Oeko!CJ501,Oeko!EW501)</f>
        <v>1</v>
      </c>
      <c r="X501" s="1998">
        <f>IF(Construction!$F$31=Construction!$R$22,Oeko!CK501,Oeko!EX501)</f>
        <v>1</v>
      </c>
      <c r="Y501" s="1998">
        <f>IF(Construction!$F$31=Construction!$R$22,Oeko!CL501,Oeko!EY501)</f>
        <v>1</v>
      </c>
      <c r="Z501" s="1998">
        <f>IF(Construction!$F$31=Construction!$R$22,Oeko!CM501,Oeko!EZ501)</f>
        <v>1</v>
      </c>
      <c r="AA501" s="1998">
        <f>IF(Construction!$F$31=Construction!$R$22,Oeko!CN501,Oeko!FA501)</f>
        <v>1</v>
      </c>
      <c r="AB501" s="1998">
        <f>IF(Construction!$F$31=Construction!$R$22,Oeko!CO501,Oeko!FB501)</f>
        <v>1</v>
      </c>
      <c r="AC501" s="1979">
        <f>IF(Construction!$F$31=Construction!$R$22,Oeko!CP501,Oeko!FC501)</f>
        <v>1</v>
      </c>
      <c r="AD501" s="1979">
        <f>IF(Construction!$F$31=Construction!$R$22,Oeko!CQ501,Oeko!FD501)</f>
        <v>1</v>
      </c>
      <c r="AE501" s="1979">
        <f>IF(Construction!$F$31=Construction!$R$22,Oeko!CR501,Oeko!FE501)</f>
        <v>1</v>
      </c>
      <c r="AF501" s="1979">
        <f>IF(Construction!$F$31=Construction!$R$22,Oeko!CS501,Oeko!FF501)</f>
        <v>1</v>
      </c>
      <c r="AG501" s="1979">
        <f>IF(Construction!$F$31=Construction!$R$22,Oeko!CT501,Oeko!FG501)</f>
        <v>1</v>
      </c>
      <c r="AH501" s="1998">
        <f>IF(Construction!$F$31=Construction!$R$22,Oeko!CU501,Oeko!FH501)</f>
        <v>1</v>
      </c>
      <c r="AI501" s="1998">
        <f>IF(Construction!$F$31=Construction!$R$22,Oeko!CV501,Oeko!FI501)</f>
        <v>1</v>
      </c>
      <c r="AJ501" s="1998">
        <f>IF(Construction!$F$31=Construction!$R$22,Oeko!CW501,Oeko!FJ501)</f>
        <v>1</v>
      </c>
      <c r="AK501" s="1998">
        <f>IF(Construction!$F$31=Construction!$R$22,Oeko!CX501,Oeko!FK501)</f>
        <v>1</v>
      </c>
      <c r="AL501" s="1998">
        <f>IF(Construction!$F$31=Construction!$R$22,Oeko!CY501,Oeko!FL501)</f>
        <v>1</v>
      </c>
      <c r="AM501" s="1979">
        <f>IF(Construction!$F$31=Construction!$R$22,Oeko!CZ501,Oeko!FM501)</f>
        <v>1</v>
      </c>
      <c r="AN501" s="1979">
        <f>IF(Construction!$F$31=Construction!$R$22,Oeko!DA501,Oeko!FN501)</f>
        <v>1</v>
      </c>
      <c r="AO501" s="1979">
        <f>IF(Construction!$F$31=Construction!$R$22,Oeko!DB501,Oeko!FO501)</f>
        <v>1</v>
      </c>
      <c r="AP501" s="1979">
        <f>IF(Construction!$F$31=Construction!$R$22,Oeko!DC501,Oeko!FP501)</f>
        <v>1</v>
      </c>
      <c r="AQ501" s="1979">
        <f>IF(Construction!$F$31=Construction!$R$22,Oeko!DD501,Oeko!FQ501)</f>
        <v>1</v>
      </c>
      <c r="AR501" s="1998">
        <f>IF(Construction!$F$31=Construction!$R$22,Oeko!DE501,Oeko!FR501)</f>
        <v>1</v>
      </c>
      <c r="AS501" s="1998">
        <f>IF(Construction!$F$31=Construction!$R$22,Oeko!DF501,Oeko!FS501)</f>
        <v>1</v>
      </c>
      <c r="AT501" s="1998">
        <f>IF(Construction!$F$31=Construction!$R$22,Oeko!DG501,Oeko!FT501)</f>
        <v>1</v>
      </c>
      <c r="AU501" s="1998">
        <f>IF(Construction!$F$31=Construction!$R$22,Oeko!DH501,Oeko!FU501)</f>
        <v>1</v>
      </c>
      <c r="AV501" s="1998">
        <f>IF(Construction!$F$31=Construction!$R$22,Oeko!DI501,Oeko!FV501)</f>
        <v>1</v>
      </c>
      <c r="AW501" s="1979">
        <f>IF(Construction!$F$31=Construction!$R$22,Oeko!DJ501,Oeko!FW501)</f>
        <v>1</v>
      </c>
      <c r="AX501" s="1979">
        <f>IF(Construction!$F$31=Construction!$R$22,Oeko!DK501,Oeko!FX501)</f>
        <v>1</v>
      </c>
      <c r="AY501" s="1979">
        <f>IF(Construction!$F$31=Construction!$R$22,Oeko!DL501,Oeko!FY501)</f>
        <v>1</v>
      </c>
      <c r="AZ501" s="1979">
        <f>IF(Construction!$F$31=Construction!$R$22,Oeko!DM501,Oeko!FZ501)</f>
        <v>1</v>
      </c>
      <c r="BA501" s="1979">
        <f>IF(Construction!$F$31=Construction!$R$22,Oeko!DN501,Oeko!GA501)</f>
        <v>1</v>
      </c>
      <c r="BB501" s="1998">
        <f>IF(Construction!$F$31=Construction!$R$22,Oeko!DO501,Oeko!GB501)</f>
        <v>1</v>
      </c>
      <c r="BC501" s="1998">
        <f>IF(Construction!$F$31=Construction!$R$22,Oeko!DP501,Oeko!GC501)</f>
        <v>1</v>
      </c>
      <c r="BD501" s="1998">
        <f>IF(Construction!$F$31=Construction!$R$22,Oeko!DQ501,Oeko!GD501)</f>
        <v>1</v>
      </c>
      <c r="BE501" s="1998">
        <f>IF(Construction!$F$31=Construction!$R$22,Oeko!DR501,Oeko!GE501)</f>
        <v>1</v>
      </c>
      <c r="BF501" s="1998">
        <f>IF(Construction!$F$31=Construction!$R$22,Oeko!DS501,Oeko!GF501)</f>
        <v>1</v>
      </c>
      <c r="BG501" s="1979">
        <f>IF(Construction!$F$31=Construction!$R$22,Oeko!DT501,Oeko!GG501)</f>
        <v>1</v>
      </c>
      <c r="BH501" s="1979">
        <f>IF(Construction!$F$31=Construction!$R$22,Oeko!DU501,Oeko!GH501)</f>
        <v>1</v>
      </c>
      <c r="BI501" s="1979">
        <f>IF(Construction!$F$31=Construction!$R$22,Oeko!DV501,Oeko!GI501)</f>
        <v>1</v>
      </c>
      <c r="BJ501" s="1979">
        <f>IF(Construction!$F$31=Construction!$R$22,Oeko!DW501,Oeko!GJ501)</f>
        <v>1</v>
      </c>
      <c r="BK501" s="2021">
        <f>IF(Construction!$F$31=Construction!$R$22,Oeko!DX501,Oeko!GK501)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Construction métallique</v>
      </c>
      <c r="B502" s="2">
        <v>1</v>
      </c>
      <c r="C502" s="2" t="s">
        <v>4329</v>
      </c>
      <c r="D502" s="2002">
        <f>IF(Construction!$F$31=Construction!$R$22,Oeko!BQ502,Oeko!ED502)</f>
        <v>0</v>
      </c>
      <c r="E502" s="2002">
        <f>IF(Construction!$F$31=Construction!$R$22,Oeko!BR502,Oeko!EE502)</f>
        <v>0</v>
      </c>
      <c r="F502" s="2002">
        <f>IF(Construction!$F$31=Construction!$R$22,Oeko!BS502,Oeko!EF502)</f>
        <v>0</v>
      </c>
      <c r="G502" s="2002">
        <f>IF(Construction!$F$31=Construction!$R$22,Oeko!BT502,Oeko!EG502)</f>
        <v>0</v>
      </c>
      <c r="H502" s="2002">
        <f>IF(Construction!$F$31=Construction!$R$22,Oeko!BU502,Oeko!EH502)</f>
        <v>0</v>
      </c>
      <c r="I502" s="2004">
        <f>IF(Construction!$F$31=Construction!$R$22,Oeko!BV502,Oeko!EI502)</f>
        <v>0</v>
      </c>
      <c r="J502" s="2004">
        <f>IF(Construction!$F$31=Construction!$R$22,Oeko!BW502,Oeko!EJ502)</f>
        <v>0</v>
      </c>
      <c r="K502" s="2004">
        <f>IF(Construction!$F$31=Construction!$R$22,Oeko!BX502,Oeko!EK502)</f>
        <v>0</v>
      </c>
      <c r="L502" s="2004">
        <f>IF(Construction!$F$31=Construction!$R$22,Oeko!BY502,Oeko!EL502)</f>
        <v>0</v>
      </c>
      <c r="M502" s="2004">
        <f>IF(Construction!$F$31=Construction!$R$22,Oeko!BZ502,Oeko!EM502)</f>
        <v>0</v>
      </c>
      <c r="N502" s="2002">
        <f>IF(Construction!$F$31=Construction!$R$22,Oeko!CA502,Oeko!EN502)</f>
        <v>0</v>
      </c>
      <c r="O502" s="2002">
        <f>IF(Construction!$F$31=Construction!$R$22,Oeko!CB502,Oeko!EO502)</f>
        <v>0</v>
      </c>
      <c r="P502" s="2002">
        <f>IF(Construction!$F$31=Construction!$R$22,Oeko!CC502,Oeko!EP502)</f>
        <v>0</v>
      </c>
      <c r="Q502" s="2002">
        <f>IF(Construction!$F$31=Construction!$R$22,Oeko!CD502,Oeko!EQ502)</f>
        <v>0</v>
      </c>
      <c r="R502" s="2002">
        <f>IF(Construction!$F$31=Construction!$R$22,Oeko!CE502,Oeko!ER502)</f>
        <v>0</v>
      </c>
      <c r="S502" s="2004">
        <f>IF(Construction!$F$31=Construction!$R$22,Oeko!CF502,Oeko!ES502)</f>
        <v>0</v>
      </c>
      <c r="T502" s="2004">
        <f>IF(Construction!$F$31=Construction!$R$22,Oeko!CG502,Oeko!ET502)</f>
        <v>0</v>
      </c>
      <c r="U502" s="2004">
        <f>IF(Construction!$F$31=Construction!$R$22,Oeko!CH502,Oeko!EU502)</f>
        <v>0</v>
      </c>
      <c r="V502" s="2004">
        <f>IF(Construction!$F$31=Construction!$R$22,Oeko!CI502,Oeko!EV502)</f>
        <v>0</v>
      </c>
      <c r="W502" s="2004">
        <f>IF(Construction!$F$31=Construction!$R$22,Oeko!CJ502,Oeko!EW502)</f>
        <v>0</v>
      </c>
      <c r="X502" s="2002">
        <f>IF(Construction!$F$31=Construction!$R$22,Oeko!CK502,Oeko!EX502)</f>
        <v>0</v>
      </c>
      <c r="Y502" s="2002">
        <f>IF(Construction!$F$31=Construction!$R$22,Oeko!CL502,Oeko!EY502)</f>
        <v>0</v>
      </c>
      <c r="Z502" s="2002">
        <f>IF(Construction!$F$31=Construction!$R$22,Oeko!CM502,Oeko!EZ502)</f>
        <v>0</v>
      </c>
      <c r="AA502" s="2002">
        <f>IF(Construction!$F$31=Construction!$R$22,Oeko!CN502,Oeko!FA502)</f>
        <v>0</v>
      </c>
      <c r="AB502" s="2002">
        <f>IF(Construction!$F$31=Construction!$R$22,Oeko!CO502,Oeko!FB502)</f>
        <v>0</v>
      </c>
      <c r="AC502" s="2004">
        <f>IF(Construction!$F$31=Construction!$R$22,Oeko!CP502,Oeko!FC502)</f>
        <v>0</v>
      </c>
      <c r="AD502" s="2004">
        <f>IF(Construction!$F$31=Construction!$R$22,Oeko!CQ502,Oeko!FD502)</f>
        <v>0</v>
      </c>
      <c r="AE502" s="2004">
        <f>IF(Construction!$F$31=Construction!$R$22,Oeko!CR502,Oeko!FE502)</f>
        <v>0</v>
      </c>
      <c r="AF502" s="2004">
        <f>IF(Construction!$F$31=Construction!$R$22,Oeko!CS502,Oeko!FF502)</f>
        <v>0</v>
      </c>
      <c r="AG502" s="2004">
        <f>IF(Construction!$F$31=Construction!$R$22,Oeko!CT502,Oeko!FG502)</f>
        <v>0</v>
      </c>
      <c r="AH502" s="2002">
        <f>IF(Construction!$F$31=Construction!$R$22,Oeko!CU502,Oeko!FH502)</f>
        <v>0.17256282243899088</v>
      </c>
      <c r="AI502" s="2002">
        <f>IF(Construction!$F$31=Construction!$R$22,Oeko!CV502,Oeko!FI502)</f>
        <v>0.1729112493531354</v>
      </c>
      <c r="AJ502" s="2002">
        <f>IF(Construction!$F$31=Construction!$R$22,Oeko!CW502,Oeko!FJ502)</f>
        <v>0.17331522258692614</v>
      </c>
      <c r="AK502" s="2002">
        <f>IF(Construction!$F$31=Construction!$R$22,Oeko!CX502,Oeko!FK502)</f>
        <v>0.17377979180578551</v>
      </c>
      <c r="AL502" s="2002">
        <f>IF(Construction!$F$31=Construction!$R$22,Oeko!CY502,Oeko!FL502)</f>
        <v>0.17435040399851495</v>
      </c>
      <c r="AM502" s="2004">
        <f>IF(Construction!$F$31=Construction!$R$22,Oeko!CZ502,Oeko!FM502)</f>
        <v>0</v>
      </c>
      <c r="AN502" s="2004">
        <f>IF(Construction!$F$31=Construction!$R$22,Oeko!DA502,Oeko!FN502)</f>
        <v>0</v>
      </c>
      <c r="AO502" s="2004">
        <f>IF(Construction!$F$31=Construction!$R$22,Oeko!DB502,Oeko!FO502)</f>
        <v>0</v>
      </c>
      <c r="AP502" s="2004">
        <f>IF(Construction!$F$31=Construction!$R$22,Oeko!DC502,Oeko!FP502)</f>
        <v>0</v>
      </c>
      <c r="AQ502" s="2004">
        <f>IF(Construction!$F$31=Construction!$R$22,Oeko!DD502,Oeko!FQ502)</f>
        <v>0</v>
      </c>
      <c r="AR502" s="2002">
        <f>IF(Construction!$F$31=Construction!$R$22,Oeko!DE502,Oeko!FR502)</f>
        <v>1.5331706998491803</v>
      </c>
      <c r="AS502" s="2002">
        <f>IF(Construction!$F$31=Construction!$R$22,Oeko!DF502,Oeko!FS502)</f>
        <v>1.534773236632393</v>
      </c>
      <c r="AT502" s="2002">
        <f>IF(Construction!$F$31=Construction!$R$22,Oeko!DG502,Oeko!FT502)</f>
        <v>1.5366312502940889</v>
      </c>
      <c r="AU502" s="2002">
        <f>IF(Construction!$F$31=Construction!$R$22,Oeko!DH502,Oeko!FU502)</f>
        <v>1.5387679660050388</v>
      </c>
      <c r="AV502" s="2002">
        <f>IF(Construction!$F$31=Construction!$R$22,Oeko!DI502,Oeko!FV502)</f>
        <v>1.5413924103021841</v>
      </c>
      <c r="AW502" s="2004">
        <f>IF(Construction!$F$31=Construction!$R$22,Oeko!DJ502,Oeko!FW502)</f>
        <v>1.5249288133955754</v>
      </c>
      <c r="AX502" s="2004">
        <f>IF(Construction!$F$31=Construction!$R$22,Oeko!DK502,Oeko!FX502)</f>
        <v>1.5265281737997602</v>
      </c>
      <c r="AY502" s="2004">
        <f>IF(Construction!$F$31=Construction!$R$22,Oeko!DL502,Oeko!FY502)</f>
        <v>1.5283825047031627</v>
      </c>
      <c r="AZ502" s="2004">
        <f>IF(Construction!$F$31=Construction!$R$22,Oeko!DM502,Oeko!FZ502)</f>
        <v>1.5305149852420761</v>
      </c>
      <c r="BA502" s="2004">
        <f>IF(Construction!$F$31=Construction!$R$22,Oeko!DN502,Oeko!GA502)</f>
        <v>1.5331342276431321</v>
      </c>
      <c r="BB502" s="2002">
        <f>IF(Construction!$F$31=Construction!$R$22,Oeko!DO502,Oeko!GB502)</f>
        <v>0.25415637332828928</v>
      </c>
      <c r="BC502" s="2002">
        <f>IF(Construction!$F$31=Construction!$R$22,Oeko!DP502,Oeko!GC502)</f>
        <v>0.25434272701995536</v>
      </c>
      <c r="BD502" s="2002">
        <f>IF(Construction!$F$31=Construction!$R$22,Oeko!DQ502,Oeko!GD502)</f>
        <v>0.25455876537047084</v>
      </c>
      <c r="BE502" s="2002">
        <f>IF(Construction!$F$31=Construction!$R$22,Oeko!DR502,Oeko!GE502)</f>
        <v>0.25481108497069122</v>
      </c>
      <c r="BF502" s="2002">
        <f>IF(Construction!$F$31=Construction!$R$22,Oeko!DS502,Oeko!GF502)</f>
        <v>0.25512442303632438</v>
      </c>
      <c r="BG502" s="2004">
        <f>IF(Construction!$F$31=Construction!$R$22,Oeko!DT502,Oeko!GG502)</f>
        <v>0.32727400084280167</v>
      </c>
      <c r="BH502" s="2004">
        <f>IF(Construction!$F$31=Construction!$R$22,Oeko!DU502,Oeko!GH502)</f>
        <v>0.32755250203598091</v>
      </c>
      <c r="BI502" s="2004">
        <f>IF(Construction!$F$31=Construction!$R$22,Oeko!DV502,Oeko!GI502)</f>
        <v>0.32787536625108249</v>
      </c>
      <c r="BJ502" s="2004">
        <f>IF(Construction!$F$31=Construction!$R$22,Oeko!DW502,Oeko!GJ502)</f>
        <v>0.32825245193742247</v>
      </c>
      <c r="BK502" s="2024">
        <f>IF(Construction!$F$31=Construction!$R$22,Oeko!DX502,Oeko!GK502)</f>
        <v>0.32872072827993615</v>
      </c>
      <c r="BN502" s="2025" t="str">
        <f>Uebersetzung!$D636</f>
        <v>Construction métallique</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Construction métallique</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IF(Construction!$F$31=Construction!$R$22,Oeko!BQ503,Oeko!ED503)</f>
        <v>0</v>
      </c>
      <c r="E503" s="1979">
        <f>IF(Construction!$F$31=Construction!$R$22,Oeko!BR503,Oeko!EE503)</f>
        <v>0</v>
      </c>
      <c r="F503" s="1979">
        <f>IF(Construction!$F$31=Construction!$R$22,Oeko!BS503,Oeko!EF503)</f>
        <v>0</v>
      </c>
      <c r="G503" s="1979">
        <f>IF(Construction!$F$31=Construction!$R$22,Oeko!BT503,Oeko!EG503)</f>
        <v>0</v>
      </c>
      <c r="H503" s="1979">
        <f>IF(Construction!$F$31=Construction!$R$22,Oeko!BU503,Oeko!EH503)</f>
        <v>0</v>
      </c>
      <c r="I503" s="1998">
        <f>IF(Construction!$F$31=Construction!$R$22,Oeko!BV503,Oeko!EI503)</f>
        <v>0</v>
      </c>
      <c r="J503" s="1998">
        <f>IF(Construction!$F$31=Construction!$R$22,Oeko!BW503,Oeko!EJ503)</f>
        <v>0</v>
      </c>
      <c r="K503" s="1998">
        <f>IF(Construction!$F$31=Construction!$R$22,Oeko!BX503,Oeko!EK503)</f>
        <v>0</v>
      </c>
      <c r="L503" s="1998">
        <f>IF(Construction!$F$31=Construction!$R$22,Oeko!BY503,Oeko!EL503)</f>
        <v>0</v>
      </c>
      <c r="M503" s="1998">
        <f>IF(Construction!$F$31=Construction!$R$22,Oeko!BZ503,Oeko!EM503)</f>
        <v>0</v>
      </c>
      <c r="N503" s="1979">
        <f>IF(Construction!$F$31=Construction!$R$22,Oeko!CA503,Oeko!EN503)</f>
        <v>0</v>
      </c>
      <c r="O503" s="1979">
        <f>IF(Construction!$F$31=Construction!$R$22,Oeko!CB503,Oeko!EO503)</f>
        <v>0</v>
      </c>
      <c r="P503" s="1979">
        <f>IF(Construction!$F$31=Construction!$R$22,Oeko!CC503,Oeko!EP503)</f>
        <v>0</v>
      </c>
      <c r="Q503" s="1979">
        <f>IF(Construction!$F$31=Construction!$R$22,Oeko!CD503,Oeko!EQ503)</f>
        <v>0</v>
      </c>
      <c r="R503" s="1979">
        <f>IF(Construction!$F$31=Construction!$R$22,Oeko!CE503,Oeko!ER503)</f>
        <v>0</v>
      </c>
      <c r="S503" s="1998">
        <f>IF(Construction!$F$31=Construction!$R$22,Oeko!CF503,Oeko!ES503)</f>
        <v>0</v>
      </c>
      <c r="T503" s="1998">
        <f>IF(Construction!$F$31=Construction!$R$22,Oeko!CG503,Oeko!ET503)</f>
        <v>0</v>
      </c>
      <c r="U503" s="1998">
        <f>IF(Construction!$F$31=Construction!$R$22,Oeko!CH503,Oeko!EU503)</f>
        <v>0</v>
      </c>
      <c r="V503" s="1998">
        <f>IF(Construction!$F$31=Construction!$R$22,Oeko!CI503,Oeko!EV503)</f>
        <v>0</v>
      </c>
      <c r="W503" s="1998">
        <f>IF(Construction!$F$31=Construction!$R$22,Oeko!CJ503,Oeko!EW503)</f>
        <v>0</v>
      </c>
      <c r="X503" s="1979">
        <f>IF(Construction!$F$31=Construction!$R$22,Oeko!CK503,Oeko!EX503)</f>
        <v>0</v>
      </c>
      <c r="Y503" s="1979">
        <f>IF(Construction!$F$31=Construction!$R$22,Oeko!CL503,Oeko!EY503)</f>
        <v>0</v>
      </c>
      <c r="Z503" s="1979">
        <f>IF(Construction!$F$31=Construction!$R$22,Oeko!CM503,Oeko!EZ503)</f>
        <v>0</v>
      </c>
      <c r="AA503" s="1979">
        <f>IF(Construction!$F$31=Construction!$R$22,Oeko!CN503,Oeko!FA503)</f>
        <v>0</v>
      </c>
      <c r="AB503" s="1979">
        <f>IF(Construction!$F$31=Construction!$R$22,Oeko!CO503,Oeko!FB503)</f>
        <v>0</v>
      </c>
      <c r="AC503" s="1998">
        <f>IF(Construction!$F$31=Construction!$R$22,Oeko!CP503,Oeko!FC503)</f>
        <v>0</v>
      </c>
      <c r="AD503" s="1998">
        <f>IF(Construction!$F$31=Construction!$R$22,Oeko!CQ503,Oeko!FD503)</f>
        <v>0</v>
      </c>
      <c r="AE503" s="1998">
        <f>IF(Construction!$F$31=Construction!$R$22,Oeko!CR503,Oeko!FE503)</f>
        <v>0</v>
      </c>
      <c r="AF503" s="1998">
        <f>IF(Construction!$F$31=Construction!$R$22,Oeko!CS503,Oeko!FF503)</f>
        <v>0</v>
      </c>
      <c r="AG503" s="1998">
        <f>IF(Construction!$F$31=Construction!$R$22,Oeko!CT503,Oeko!FG503)</f>
        <v>0</v>
      </c>
      <c r="AH503" s="1979">
        <f>IF(Construction!$F$31=Construction!$R$22,Oeko!CU503,Oeko!FH503)</f>
        <v>0.17395077347698745</v>
      </c>
      <c r="AI503" s="1979">
        <f>IF(Construction!$F$31=Construction!$R$22,Oeko!CV503,Oeko!FI503)</f>
        <v>0.17429920039113198</v>
      </c>
      <c r="AJ503" s="1979">
        <f>IF(Construction!$F$31=Construction!$R$22,Oeko!CW503,Oeko!FJ503)</f>
        <v>0.17470317362492271</v>
      </c>
      <c r="AK503" s="1979">
        <f>IF(Construction!$F$31=Construction!$R$22,Oeko!CX503,Oeko!FK503)</f>
        <v>0.17516774284378209</v>
      </c>
      <c r="AL503" s="1979">
        <f>IF(Construction!$F$31=Construction!$R$22,Oeko!CY503,Oeko!FL503)</f>
        <v>0.1757383550365115</v>
      </c>
      <c r="AM503" s="1998">
        <f>IF(Construction!$F$31=Construction!$R$22,Oeko!CZ503,Oeko!FM503)</f>
        <v>0</v>
      </c>
      <c r="AN503" s="1998">
        <f>IF(Construction!$F$31=Construction!$R$22,Oeko!DA503,Oeko!FN503)</f>
        <v>0</v>
      </c>
      <c r="AO503" s="1998">
        <f>IF(Construction!$F$31=Construction!$R$22,Oeko!DB503,Oeko!FO503)</f>
        <v>0</v>
      </c>
      <c r="AP503" s="1998">
        <f>IF(Construction!$F$31=Construction!$R$22,Oeko!DC503,Oeko!FP503)</f>
        <v>0</v>
      </c>
      <c r="AQ503" s="1998">
        <f>IF(Construction!$F$31=Construction!$R$22,Oeko!DD503,Oeko!FQ503)</f>
        <v>0</v>
      </c>
      <c r="AR503" s="1979">
        <f>IF(Construction!$F$31=Construction!$R$22,Oeko!DE503,Oeko!FR503)</f>
        <v>1.4958013207256577</v>
      </c>
      <c r="AS503" s="1979">
        <f>IF(Construction!$F$31=Construction!$R$22,Oeko!DF503,Oeko!FS503)</f>
        <v>1.4976709469727392</v>
      </c>
      <c r="AT503" s="1979">
        <f>IF(Construction!$F$31=Construction!$R$22,Oeko!DG503,Oeko!FT503)</f>
        <v>1.4998386295780506</v>
      </c>
      <c r="AU503" s="1979">
        <f>IF(Construction!$F$31=Construction!$R$22,Oeko!DH503,Oeko!FU503)</f>
        <v>1.5023314645741592</v>
      </c>
      <c r="AV503" s="1979">
        <f>IF(Construction!$F$31=Construction!$R$22,Oeko!DI503,Oeko!FV503)</f>
        <v>1.505393316254162</v>
      </c>
      <c r="AW503" s="1998">
        <f>IF(Construction!$F$31=Construction!$R$22,Oeko!DJ503,Oeko!FW503)</f>
        <v>1.4357669371223745</v>
      </c>
      <c r="AX503" s="1998">
        <f>IF(Construction!$F$31=Construction!$R$22,Oeko!DK503,Oeko!FX503)</f>
        <v>1.438006041688233</v>
      </c>
      <c r="AY503" s="1998">
        <f>IF(Construction!$F$31=Construction!$R$22,Oeko!DL503,Oeko!FY503)</f>
        <v>1.4406021049529969</v>
      </c>
      <c r="AZ503" s="1998">
        <f>IF(Construction!$F$31=Construction!$R$22,Oeko!DM503,Oeko!FZ503)</f>
        <v>1.4435875777074749</v>
      </c>
      <c r="BA503" s="1998">
        <f>IF(Construction!$F$31=Construction!$R$22,Oeko!DN503,Oeko!GA503)</f>
        <v>1.4472545170689539</v>
      </c>
      <c r="BB503" s="1979">
        <f>IF(Construction!$F$31=Construction!$R$22,Oeko!DO503,Oeko!GB503)</f>
        <v>0.283796611106653</v>
      </c>
      <c r="BC503" s="1979">
        <f>IF(Construction!$F$31=Construction!$R$22,Oeko!DP503,Oeko!GC503)</f>
        <v>0.28402023553665223</v>
      </c>
      <c r="BD503" s="1979">
        <f>IF(Construction!$F$31=Construction!$R$22,Oeko!DQ503,Oeko!GD503)</f>
        <v>0.28427948155727084</v>
      </c>
      <c r="BE503" s="1979">
        <f>IF(Construction!$F$31=Construction!$R$22,Oeko!DR503,Oeko!GE503)</f>
        <v>0.28458226507753531</v>
      </c>
      <c r="BF503" s="1979">
        <f>IF(Construction!$F$31=Construction!$R$22,Oeko!DS503,Oeko!GF503)</f>
        <v>0.28495827075629515</v>
      </c>
      <c r="BG503" s="1998">
        <f>IF(Construction!$F$31=Construction!$R$22,Oeko!DT503,Oeko!GG503)</f>
        <v>0.32742453936385824</v>
      </c>
      <c r="BH503" s="1998">
        <f>IF(Construction!$F$31=Construction!$R$22,Oeko!DU503,Oeko!GH503)</f>
        <v>0.32770304055703742</v>
      </c>
      <c r="BI503" s="1998">
        <f>IF(Construction!$F$31=Construction!$R$22,Oeko!DV503,Oeko!GI503)</f>
        <v>0.328025904772139</v>
      </c>
      <c r="BJ503" s="1998">
        <f>IF(Construction!$F$31=Construction!$R$22,Oeko!DW503,Oeko!GJ503)</f>
        <v>0.32840299045847898</v>
      </c>
      <c r="BK503" s="2026">
        <f>IF(Construction!$F$31=Construction!$R$22,Oeko!DX503,Oeko!GK503)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IF(Construction!$F$31=Construction!$R$22,Oeko!BQ504,Oeko!ED504)</f>
        <v>0</v>
      </c>
      <c r="E504" s="1979">
        <f>IF(Construction!$F$31=Construction!$R$22,Oeko!BR504,Oeko!EE504)</f>
        <v>0</v>
      </c>
      <c r="F504" s="1979">
        <f>IF(Construction!$F$31=Construction!$R$22,Oeko!BS504,Oeko!EF504)</f>
        <v>0</v>
      </c>
      <c r="G504" s="1979">
        <f>IF(Construction!$F$31=Construction!$R$22,Oeko!BT504,Oeko!EG504)</f>
        <v>0</v>
      </c>
      <c r="H504" s="1979">
        <f>IF(Construction!$F$31=Construction!$R$22,Oeko!BU504,Oeko!EH504)</f>
        <v>0</v>
      </c>
      <c r="I504" s="1998">
        <f>IF(Construction!$F$31=Construction!$R$22,Oeko!BV504,Oeko!EI504)</f>
        <v>0</v>
      </c>
      <c r="J504" s="1998">
        <f>IF(Construction!$F$31=Construction!$R$22,Oeko!BW504,Oeko!EJ504)</f>
        <v>0</v>
      </c>
      <c r="K504" s="1998">
        <f>IF(Construction!$F$31=Construction!$R$22,Oeko!BX504,Oeko!EK504)</f>
        <v>0</v>
      </c>
      <c r="L504" s="1998">
        <f>IF(Construction!$F$31=Construction!$R$22,Oeko!BY504,Oeko!EL504)</f>
        <v>0</v>
      </c>
      <c r="M504" s="1998">
        <f>IF(Construction!$F$31=Construction!$R$22,Oeko!BZ504,Oeko!EM504)</f>
        <v>0</v>
      </c>
      <c r="N504" s="1979">
        <f>IF(Construction!$F$31=Construction!$R$22,Oeko!CA504,Oeko!EN504)</f>
        <v>0</v>
      </c>
      <c r="O504" s="1979">
        <f>IF(Construction!$F$31=Construction!$R$22,Oeko!CB504,Oeko!EO504)</f>
        <v>0</v>
      </c>
      <c r="P504" s="1979">
        <f>IF(Construction!$F$31=Construction!$R$22,Oeko!CC504,Oeko!EP504)</f>
        <v>0</v>
      </c>
      <c r="Q504" s="1979">
        <f>IF(Construction!$F$31=Construction!$R$22,Oeko!CD504,Oeko!EQ504)</f>
        <v>0</v>
      </c>
      <c r="R504" s="1979">
        <f>IF(Construction!$F$31=Construction!$R$22,Oeko!CE504,Oeko!ER504)</f>
        <v>0</v>
      </c>
      <c r="S504" s="1998">
        <f>IF(Construction!$F$31=Construction!$R$22,Oeko!CF504,Oeko!ES504)</f>
        <v>0</v>
      </c>
      <c r="T504" s="1998">
        <f>IF(Construction!$F$31=Construction!$R$22,Oeko!CG504,Oeko!ET504)</f>
        <v>0</v>
      </c>
      <c r="U504" s="1998">
        <f>IF(Construction!$F$31=Construction!$R$22,Oeko!CH504,Oeko!EU504)</f>
        <v>0</v>
      </c>
      <c r="V504" s="1998">
        <f>IF(Construction!$F$31=Construction!$R$22,Oeko!CI504,Oeko!EV504)</f>
        <v>0</v>
      </c>
      <c r="W504" s="1998">
        <f>IF(Construction!$F$31=Construction!$R$22,Oeko!CJ504,Oeko!EW504)</f>
        <v>0</v>
      </c>
      <c r="X504" s="1979">
        <f>IF(Construction!$F$31=Construction!$R$22,Oeko!CK504,Oeko!EX504)</f>
        <v>0</v>
      </c>
      <c r="Y504" s="1979">
        <f>IF(Construction!$F$31=Construction!$R$22,Oeko!CL504,Oeko!EY504)</f>
        <v>0</v>
      </c>
      <c r="Z504" s="1979">
        <f>IF(Construction!$F$31=Construction!$R$22,Oeko!CM504,Oeko!EZ504)</f>
        <v>0</v>
      </c>
      <c r="AA504" s="1979">
        <f>IF(Construction!$F$31=Construction!$R$22,Oeko!CN504,Oeko!FA504)</f>
        <v>0</v>
      </c>
      <c r="AB504" s="1979">
        <f>IF(Construction!$F$31=Construction!$R$22,Oeko!CO504,Oeko!FB504)</f>
        <v>0</v>
      </c>
      <c r="AC504" s="1998">
        <f>IF(Construction!$F$31=Construction!$R$22,Oeko!CP504,Oeko!FC504)</f>
        <v>0</v>
      </c>
      <c r="AD504" s="1998">
        <f>IF(Construction!$F$31=Construction!$R$22,Oeko!CQ504,Oeko!FD504)</f>
        <v>0</v>
      </c>
      <c r="AE504" s="1998">
        <f>IF(Construction!$F$31=Construction!$R$22,Oeko!CR504,Oeko!FE504)</f>
        <v>0</v>
      </c>
      <c r="AF504" s="1998">
        <f>IF(Construction!$F$31=Construction!$R$22,Oeko!CS504,Oeko!FF504)</f>
        <v>0</v>
      </c>
      <c r="AG504" s="1998">
        <f>IF(Construction!$F$31=Construction!$R$22,Oeko!CT504,Oeko!FG504)</f>
        <v>0</v>
      </c>
      <c r="AH504" s="1979">
        <f>IF(Construction!$F$31=Construction!$R$22,Oeko!CU504,Oeko!FH504)</f>
        <v>0.17549294129698362</v>
      </c>
      <c r="AI504" s="1979">
        <f>IF(Construction!$F$31=Construction!$R$22,Oeko!CV504,Oeko!FI504)</f>
        <v>0.17584136821112814</v>
      </c>
      <c r="AJ504" s="1979">
        <f>IF(Construction!$F$31=Construction!$R$22,Oeko!CW504,Oeko!FJ504)</f>
        <v>0.17624534144491888</v>
      </c>
      <c r="AK504" s="1979">
        <f>IF(Construction!$F$31=Construction!$R$22,Oeko!CX504,Oeko!FK504)</f>
        <v>0.17670991066377825</v>
      </c>
      <c r="AL504" s="1979">
        <f>IF(Construction!$F$31=Construction!$R$22,Oeko!CY504,Oeko!FL504)</f>
        <v>0.17728052285650769</v>
      </c>
      <c r="AM504" s="1998">
        <f>IF(Construction!$F$31=Construction!$R$22,Oeko!CZ504,Oeko!FM504)</f>
        <v>0</v>
      </c>
      <c r="AN504" s="1998">
        <f>IF(Construction!$F$31=Construction!$R$22,Oeko!DA504,Oeko!FN504)</f>
        <v>0</v>
      </c>
      <c r="AO504" s="1998">
        <f>IF(Construction!$F$31=Construction!$R$22,Oeko!DB504,Oeko!FO504)</f>
        <v>0</v>
      </c>
      <c r="AP504" s="1998">
        <f>IF(Construction!$F$31=Construction!$R$22,Oeko!DC504,Oeko!FP504)</f>
        <v>0</v>
      </c>
      <c r="AQ504" s="1998">
        <f>IF(Construction!$F$31=Construction!$R$22,Oeko!DD504,Oeko!FQ504)</f>
        <v>0</v>
      </c>
      <c r="AR504" s="1979">
        <f>IF(Construction!$F$31=Construction!$R$22,Oeko!DE504,Oeko!FR504)</f>
        <v>1.4515938157315877</v>
      </c>
      <c r="AS504" s="1979">
        <f>IF(Construction!$F$31=Construction!$R$22,Oeko!DF504,Oeko!FS504)</f>
        <v>1.4538373672280858</v>
      </c>
      <c r="AT504" s="1979">
        <f>IF(Construction!$F$31=Construction!$R$22,Oeko!DG504,Oeko!FT504)</f>
        <v>1.4564385863544598</v>
      </c>
      <c r="AU504" s="1979">
        <f>IF(Construction!$F$31=Construction!$R$22,Oeko!DH504,Oeko!FU504)</f>
        <v>1.4594299883497899</v>
      </c>
      <c r="AV504" s="1979">
        <f>IF(Construction!$F$31=Construction!$R$22,Oeko!DI504,Oeko!FV504)</f>
        <v>1.4631042103657932</v>
      </c>
      <c r="AW504" s="1998">
        <f>IF(Construction!$F$31=Construction!$R$22,Oeko!DJ504,Oeko!FW504)</f>
        <v>1.4440917331934922</v>
      </c>
      <c r="AX504" s="1998">
        <f>IF(Construction!$F$31=Construction!$R$22,Oeko!DK504,Oeko!FX504)</f>
        <v>1.4463308377593509</v>
      </c>
      <c r="AY504" s="1998">
        <f>IF(Construction!$F$31=Construction!$R$22,Oeko!DL504,Oeko!FY504)</f>
        <v>1.4489269010241146</v>
      </c>
      <c r="AZ504" s="1998">
        <f>IF(Construction!$F$31=Construction!$R$22,Oeko!DM504,Oeko!FZ504)</f>
        <v>1.4519123737785928</v>
      </c>
      <c r="BA504" s="1998">
        <f>IF(Construction!$F$31=Construction!$R$22,Oeko!DN504,Oeko!GA504)</f>
        <v>1.4555793131400716</v>
      </c>
      <c r="BB504" s="1979">
        <f>IF(Construction!$F$31=Construction!$R$22,Oeko!DO504,Oeko!GB504)</f>
        <v>0.3282569677741986</v>
      </c>
      <c r="BC504" s="1979">
        <f>IF(Construction!$F$31=Construction!$R$22,Oeko!DP504,Oeko!GC504)</f>
        <v>0.32853649831169768</v>
      </c>
      <c r="BD504" s="1979">
        <f>IF(Construction!$F$31=Construction!$R$22,Oeko!DQ504,Oeko!GD504)</f>
        <v>0.32886055583747092</v>
      </c>
      <c r="BE504" s="1979">
        <f>IF(Construction!$F$31=Construction!$R$22,Oeko!DR504,Oeko!GE504)</f>
        <v>0.32923903523780146</v>
      </c>
      <c r="BF504" s="1979">
        <f>IF(Construction!$F$31=Construction!$R$22,Oeko!DS504,Oeko!GF504)</f>
        <v>0.3297090423362512</v>
      </c>
      <c r="BG504" s="1998">
        <f>IF(Construction!$F$31=Construction!$R$22,Oeko!DT504,Oeko!GG504)</f>
        <v>0.40125226549751064</v>
      </c>
      <c r="BH504" s="1998">
        <f>IF(Construction!$F$31=Construction!$R$22,Oeko!DU504,Oeko!GH504)</f>
        <v>0.4016236004217496</v>
      </c>
      <c r="BI504" s="1998">
        <f>IF(Construction!$F$31=Construction!$R$22,Oeko!DV504,Oeko!GI504)</f>
        <v>0.40205408604188486</v>
      </c>
      <c r="BJ504" s="1998">
        <f>IF(Construction!$F$31=Construction!$R$22,Oeko!DW504,Oeko!GJ504)</f>
        <v>0.40255686695700493</v>
      </c>
      <c r="BK504" s="2026">
        <f>IF(Construction!$F$31=Construction!$R$22,Oeko!DX504,Oeko!GK504)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IF(Construction!$F$31=Construction!$R$22,Oeko!BQ505,Oeko!ED505)</f>
        <v>0</v>
      </c>
      <c r="E505" s="1979">
        <f>IF(Construction!$F$31=Construction!$R$22,Oeko!BR505,Oeko!EE505)</f>
        <v>0</v>
      </c>
      <c r="F505" s="1979">
        <f>IF(Construction!$F$31=Construction!$R$22,Oeko!BS505,Oeko!EF505)</f>
        <v>0</v>
      </c>
      <c r="G505" s="1979">
        <f>IF(Construction!$F$31=Construction!$R$22,Oeko!BT505,Oeko!EG505)</f>
        <v>0</v>
      </c>
      <c r="H505" s="1979">
        <f>IF(Construction!$F$31=Construction!$R$22,Oeko!BU505,Oeko!EH505)</f>
        <v>0</v>
      </c>
      <c r="I505" s="1998">
        <f>IF(Construction!$F$31=Construction!$R$22,Oeko!BV505,Oeko!EI505)</f>
        <v>0</v>
      </c>
      <c r="J505" s="1998">
        <f>IF(Construction!$F$31=Construction!$R$22,Oeko!BW505,Oeko!EJ505)</f>
        <v>0</v>
      </c>
      <c r="K505" s="1998">
        <f>IF(Construction!$F$31=Construction!$R$22,Oeko!BX505,Oeko!EK505)</f>
        <v>0</v>
      </c>
      <c r="L505" s="1998">
        <f>IF(Construction!$F$31=Construction!$R$22,Oeko!BY505,Oeko!EL505)</f>
        <v>0</v>
      </c>
      <c r="M505" s="1998">
        <f>IF(Construction!$F$31=Construction!$R$22,Oeko!BZ505,Oeko!EM505)</f>
        <v>0</v>
      </c>
      <c r="N505" s="1979">
        <f>IF(Construction!$F$31=Construction!$R$22,Oeko!CA505,Oeko!EN505)</f>
        <v>0</v>
      </c>
      <c r="O505" s="1979">
        <f>IF(Construction!$F$31=Construction!$R$22,Oeko!CB505,Oeko!EO505)</f>
        <v>0</v>
      </c>
      <c r="P505" s="1979">
        <f>IF(Construction!$F$31=Construction!$R$22,Oeko!CC505,Oeko!EP505)</f>
        <v>0</v>
      </c>
      <c r="Q505" s="1979">
        <f>IF(Construction!$F$31=Construction!$R$22,Oeko!CD505,Oeko!EQ505)</f>
        <v>0</v>
      </c>
      <c r="R505" s="1979">
        <f>IF(Construction!$F$31=Construction!$R$22,Oeko!CE505,Oeko!ER505)</f>
        <v>0</v>
      </c>
      <c r="S505" s="1998">
        <f>IF(Construction!$F$31=Construction!$R$22,Oeko!CF505,Oeko!ES505)</f>
        <v>0</v>
      </c>
      <c r="T505" s="1998">
        <f>IF(Construction!$F$31=Construction!$R$22,Oeko!CG505,Oeko!ET505)</f>
        <v>0</v>
      </c>
      <c r="U505" s="1998">
        <f>IF(Construction!$F$31=Construction!$R$22,Oeko!CH505,Oeko!EU505)</f>
        <v>0</v>
      </c>
      <c r="V505" s="1998">
        <f>IF(Construction!$F$31=Construction!$R$22,Oeko!CI505,Oeko!EV505)</f>
        <v>0</v>
      </c>
      <c r="W505" s="1998">
        <f>IF(Construction!$F$31=Construction!$R$22,Oeko!CJ505,Oeko!EW505)</f>
        <v>0</v>
      </c>
      <c r="X505" s="1979">
        <f>IF(Construction!$F$31=Construction!$R$22,Oeko!CK505,Oeko!EX505)</f>
        <v>0</v>
      </c>
      <c r="Y505" s="1979">
        <f>IF(Construction!$F$31=Construction!$R$22,Oeko!CL505,Oeko!EY505)</f>
        <v>0</v>
      </c>
      <c r="Z505" s="1979">
        <f>IF(Construction!$F$31=Construction!$R$22,Oeko!CM505,Oeko!EZ505)</f>
        <v>0</v>
      </c>
      <c r="AA505" s="1979">
        <f>IF(Construction!$F$31=Construction!$R$22,Oeko!CN505,Oeko!FA505)</f>
        <v>0</v>
      </c>
      <c r="AB505" s="1979">
        <f>IF(Construction!$F$31=Construction!$R$22,Oeko!CO505,Oeko!FB505)</f>
        <v>0</v>
      </c>
      <c r="AC505" s="1998">
        <f>IF(Construction!$F$31=Construction!$R$22,Oeko!CP505,Oeko!FC505)</f>
        <v>0</v>
      </c>
      <c r="AD505" s="1998">
        <f>IF(Construction!$F$31=Construction!$R$22,Oeko!CQ505,Oeko!FD505)</f>
        <v>0</v>
      </c>
      <c r="AE505" s="1998">
        <f>IF(Construction!$F$31=Construction!$R$22,Oeko!CR505,Oeko!FE505)</f>
        <v>0</v>
      </c>
      <c r="AF505" s="1998">
        <f>IF(Construction!$F$31=Construction!$R$22,Oeko!CS505,Oeko!FF505)</f>
        <v>0</v>
      </c>
      <c r="AG505" s="1998">
        <f>IF(Construction!$F$31=Construction!$R$22,Oeko!CT505,Oeko!FG505)</f>
        <v>0</v>
      </c>
      <c r="AH505" s="1979">
        <f>IF(Construction!$F$31=Construction!$R$22,Oeko!CU505,Oeko!FH505)</f>
        <v>0.15858723375825537</v>
      </c>
      <c r="AI505" s="1979">
        <f>IF(Construction!$F$31=Construction!$R$22,Oeko!CV505,Oeko!FI505)</f>
        <v>0.15905180297711471</v>
      </c>
      <c r="AJ505" s="1979">
        <f>IF(Construction!$F$31=Construction!$R$22,Oeko!CW505,Oeko!FJ505)</f>
        <v>0.1595904339555024</v>
      </c>
      <c r="AK505" s="1979">
        <f>IF(Construction!$F$31=Construction!$R$22,Oeko!CX505,Oeko!FK505)</f>
        <v>0.16020985958064821</v>
      </c>
      <c r="AL505" s="1979">
        <f>IF(Construction!$F$31=Construction!$R$22,Oeko!CY505,Oeko!FL505)</f>
        <v>0.16097067583762079</v>
      </c>
      <c r="AM505" s="1998">
        <f>IF(Construction!$F$31=Construction!$R$22,Oeko!CZ505,Oeko!FM505)</f>
        <v>0</v>
      </c>
      <c r="AN505" s="1998">
        <f>IF(Construction!$F$31=Construction!$R$22,Oeko!DA505,Oeko!FN505)</f>
        <v>0</v>
      </c>
      <c r="AO505" s="1998">
        <f>IF(Construction!$F$31=Construction!$R$22,Oeko!DB505,Oeko!FO505)</f>
        <v>0</v>
      </c>
      <c r="AP505" s="1998">
        <f>IF(Construction!$F$31=Construction!$R$22,Oeko!DC505,Oeko!FP505)</f>
        <v>0</v>
      </c>
      <c r="AQ505" s="1998">
        <f>IF(Construction!$F$31=Construction!$R$22,Oeko!DD505,Oeko!FQ505)</f>
        <v>0</v>
      </c>
      <c r="AR505" s="1979">
        <f>IF(Construction!$F$31=Construction!$R$22,Oeko!DE505,Oeko!FR505)</f>
        <v>1.3726112679610114</v>
      </c>
      <c r="AS505" s="1979">
        <f>IF(Construction!$F$31=Construction!$R$22,Oeko!DF505,Oeko!FS505)</f>
        <v>1.3754157073316338</v>
      </c>
      <c r="AT505" s="1979">
        <f>IF(Construction!$F$31=Construction!$R$22,Oeko!DG505,Oeko!FT505)</f>
        <v>1.3786672312396013</v>
      </c>
      <c r="AU505" s="1979">
        <f>IF(Construction!$F$31=Construction!$R$22,Oeko!DH505,Oeko!FU505)</f>
        <v>1.382406483733764</v>
      </c>
      <c r="AV505" s="1979">
        <f>IF(Construction!$F$31=Construction!$R$22,Oeko!DI505,Oeko!FV505)</f>
        <v>1.386999261253768</v>
      </c>
      <c r="AW505" s="1998">
        <f>IF(Construction!$F$31=Construction!$R$22,Oeko!DJ505,Oeko!FW505)</f>
        <v>1.3705719679035719</v>
      </c>
      <c r="AX505" s="1998">
        <f>IF(Construction!$F$31=Construction!$R$22,Oeko!DK505,Oeko!FX505)</f>
        <v>1.3733708486108955</v>
      </c>
      <c r="AY505" s="1998">
        <f>IF(Construction!$F$31=Construction!$R$22,Oeko!DL505,Oeko!FY505)</f>
        <v>1.3766159276918499</v>
      </c>
      <c r="AZ505" s="1998">
        <f>IF(Construction!$F$31=Construction!$R$22,Oeko!DM505,Oeko!FZ505)</f>
        <v>1.3803477686349481</v>
      </c>
      <c r="BA505" s="1998">
        <f>IF(Construction!$F$31=Construction!$R$22,Oeko!DN505,Oeko!GA505)</f>
        <v>1.3849314428367965</v>
      </c>
      <c r="BB505" s="1979">
        <f>IF(Construction!$F$31=Construction!$R$22,Oeko!DO505,Oeko!GB505)</f>
        <v>0.32860952257246728</v>
      </c>
      <c r="BC505" s="1979">
        <f>IF(Construction!$F$31=Construction!$R$22,Oeko!DP505,Oeko!GC505)</f>
        <v>0.32888905310996636</v>
      </c>
      <c r="BD505" s="1979">
        <f>IF(Construction!$F$31=Construction!$R$22,Oeko!DQ505,Oeko!GD505)</f>
        <v>0.32921311063573966</v>
      </c>
      <c r="BE505" s="1979">
        <f>IF(Construction!$F$31=Construction!$R$22,Oeko!DR505,Oeko!GE505)</f>
        <v>0.32959159003607025</v>
      </c>
      <c r="BF505" s="1979">
        <f>IF(Construction!$F$31=Construction!$R$22,Oeko!DS505,Oeko!GF505)</f>
        <v>0.33006159713451994</v>
      </c>
      <c r="BG505" s="1998">
        <f>IF(Construction!$F$31=Construction!$R$22,Oeko!DT505,Oeko!GG505)</f>
        <v>0.3288922899441592</v>
      </c>
      <c r="BH505" s="1998">
        <f>IF(Construction!$F$31=Construction!$R$22,Oeko!DU505,Oeko!GH505)</f>
        <v>0.32917079113733833</v>
      </c>
      <c r="BI505" s="1998">
        <f>IF(Construction!$F$31=Construction!$R$22,Oeko!DV505,Oeko!GI505)</f>
        <v>0.32949365535243991</v>
      </c>
      <c r="BJ505" s="1998">
        <f>IF(Construction!$F$31=Construction!$R$22,Oeko!DW505,Oeko!GJ505)</f>
        <v>0.32987074103877995</v>
      </c>
      <c r="BK505" s="2026">
        <f>IF(Construction!$F$31=Construction!$R$22,Oeko!DX505,Oeko!GK505)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IF(Construction!$F$31=Construction!$R$22,Oeko!BQ506,Oeko!ED506)</f>
        <v>0</v>
      </c>
      <c r="E506" s="1979">
        <f>IF(Construction!$F$31=Construction!$R$22,Oeko!BR506,Oeko!EE506)</f>
        <v>0</v>
      </c>
      <c r="F506" s="1979">
        <f>IF(Construction!$F$31=Construction!$R$22,Oeko!BS506,Oeko!EF506)</f>
        <v>0</v>
      </c>
      <c r="G506" s="1979">
        <f>IF(Construction!$F$31=Construction!$R$22,Oeko!BT506,Oeko!EG506)</f>
        <v>0</v>
      </c>
      <c r="H506" s="1979">
        <f>IF(Construction!$F$31=Construction!$R$22,Oeko!BU506,Oeko!EH506)</f>
        <v>0</v>
      </c>
      <c r="I506" s="1998">
        <f>IF(Construction!$F$31=Construction!$R$22,Oeko!BV506,Oeko!EI506)</f>
        <v>0</v>
      </c>
      <c r="J506" s="1998">
        <f>IF(Construction!$F$31=Construction!$R$22,Oeko!BW506,Oeko!EJ506)</f>
        <v>0</v>
      </c>
      <c r="K506" s="1998">
        <f>IF(Construction!$F$31=Construction!$R$22,Oeko!BX506,Oeko!EK506)</f>
        <v>0</v>
      </c>
      <c r="L506" s="1998">
        <f>IF(Construction!$F$31=Construction!$R$22,Oeko!BY506,Oeko!EL506)</f>
        <v>0</v>
      </c>
      <c r="M506" s="1998">
        <f>IF(Construction!$F$31=Construction!$R$22,Oeko!BZ506,Oeko!EM506)</f>
        <v>0</v>
      </c>
      <c r="N506" s="1979">
        <f>IF(Construction!$F$31=Construction!$R$22,Oeko!CA506,Oeko!EN506)</f>
        <v>0</v>
      </c>
      <c r="O506" s="1979">
        <f>IF(Construction!$F$31=Construction!$R$22,Oeko!CB506,Oeko!EO506)</f>
        <v>0</v>
      </c>
      <c r="P506" s="1979">
        <f>IF(Construction!$F$31=Construction!$R$22,Oeko!CC506,Oeko!EP506)</f>
        <v>0</v>
      </c>
      <c r="Q506" s="1979">
        <f>IF(Construction!$F$31=Construction!$R$22,Oeko!CD506,Oeko!EQ506)</f>
        <v>0</v>
      </c>
      <c r="R506" s="1979">
        <f>IF(Construction!$F$31=Construction!$R$22,Oeko!CE506,Oeko!ER506)</f>
        <v>0</v>
      </c>
      <c r="S506" s="1998">
        <f>IF(Construction!$F$31=Construction!$R$22,Oeko!CF506,Oeko!ES506)</f>
        <v>0</v>
      </c>
      <c r="T506" s="1998">
        <f>IF(Construction!$F$31=Construction!$R$22,Oeko!CG506,Oeko!ET506)</f>
        <v>0</v>
      </c>
      <c r="U506" s="1998">
        <f>IF(Construction!$F$31=Construction!$R$22,Oeko!CH506,Oeko!EU506)</f>
        <v>0</v>
      </c>
      <c r="V506" s="1998">
        <f>IF(Construction!$F$31=Construction!$R$22,Oeko!CI506,Oeko!EV506)</f>
        <v>0</v>
      </c>
      <c r="W506" s="1998">
        <f>IF(Construction!$F$31=Construction!$R$22,Oeko!CJ506,Oeko!EW506)</f>
        <v>0</v>
      </c>
      <c r="X506" s="1979">
        <f>IF(Construction!$F$31=Construction!$R$22,Oeko!CK506,Oeko!EX506)</f>
        <v>0</v>
      </c>
      <c r="Y506" s="1979">
        <f>IF(Construction!$F$31=Construction!$R$22,Oeko!CL506,Oeko!EY506)</f>
        <v>0</v>
      </c>
      <c r="Z506" s="1979">
        <f>IF(Construction!$F$31=Construction!$R$22,Oeko!CM506,Oeko!EZ506)</f>
        <v>0</v>
      </c>
      <c r="AA506" s="1979">
        <f>IF(Construction!$F$31=Construction!$R$22,Oeko!CN506,Oeko!FA506)</f>
        <v>0</v>
      </c>
      <c r="AB506" s="1979">
        <f>IF(Construction!$F$31=Construction!$R$22,Oeko!CO506,Oeko!FB506)</f>
        <v>0</v>
      </c>
      <c r="AC506" s="1998">
        <f>IF(Construction!$F$31=Construction!$R$22,Oeko!CP506,Oeko!FC506)</f>
        <v>0</v>
      </c>
      <c r="AD506" s="1998">
        <f>IF(Construction!$F$31=Construction!$R$22,Oeko!CQ506,Oeko!FD506)</f>
        <v>0</v>
      </c>
      <c r="AE506" s="1998">
        <f>IF(Construction!$F$31=Construction!$R$22,Oeko!CR506,Oeko!FE506)</f>
        <v>0</v>
      </c>
      <c r="AF506" s="1998">
        <f>IF(Construction!$F$31=Construction!$R$22,Oeko!CS506,Oeko!FF506)</f>
        <v>0</v>
      </c>
      <c r="AG506" s="1998">
        <f>IF(Construction!$F$31=Construction!$R$22,Oeko!CT506,Oeko!FG506)</f>
        <v>0</v>
      </c>
      <c r="AH506" s="1979">
        <f>IF(Construction!$F$31=Construction!$R$22,Oeko!CU506,Oeko!FH506)</f>
        <v>0.15940972326225333</v>
      </c>
      <c r="AI506" s="1979">
        <f>IF(Construction!$F$31=Construction!$R$22,Oeko!CV506,Oeko!FI506)</f>
        <v>0.15987429248111271</v>
      </c>
      <c r="AJ506" s="1979">
        <f>IF(Construction!$F$31=Construction!$R$22,Oeko!CW506,Oeko!FJ506)</f>
        <v>0.16041292345950037</v>
      </c>
      <c r="AK506" s="1979">
        <f>IF(Construction!$F$31=Construction!$R$22,Oeko!CX506,Oeko!FK506)</f>
        <v>0.1610323490846462</v>
      </c>
      <c r="AL506" s="1979">
        <f>IF(Construction!$F$31=Construction!$R$22,Oeko!CY506,Oeko!FL506)</f>
        <v>0.16179316534161875</v>
      </c>
      <c r="AM506" s="1998">
        <f>IF(Construction!$F$31=Construction!$R$22,Oeko!CZ506,Oeko!FM506)</f>
        <v>0</v>
      </c>
      <c r="AN506" s="1998">
        <f>IF(Construction!$F$31=Construction!$R$22,Oeko!DA506,Oeko!FN506)</f>
        <v>0</v>
      </c>
      <c r="AO506" s="1998">
        <f>IF(Construction!$F$31=Construction!$R$22,Oeko!DB506,Oeko!FO506)</f>
        <v>0</v>
      </c>
      <c r="AP506" s="1998">
        <f>IF(Construction!$F$31=Construction!$R$22,Oeko!DC506,Oeko!FP506)</f>
        <v>0</v>
      </c>
      <c r="AQ506" s="1998">
        <f>IF(Construction!$F$31=Construction!$R$22,Oeko!DD506,Oeko!FQ506)</f>
        <v>0</v>
      </c>
      <c r="AR506" s="1979">
        <f>IF(Construction!$F$31=Construction!$R$22,Oeko!DE506,Oeko!FR506)</f>
        <v>1.3817345969622312</v>
      </c>
      <c r="AS506" s="1979">
        <f>IF(Construction!$F$31=Construction!$R$22,Oeko!DF506,Oeko!FS506)</f>
        <v>1.3845390363328534</v>
      </c>
      <c r="AT506" s="1979">
        <f>IF(Construction!$F$31=Construction!$R$22,Oeko!DG506,Oeko!FT506)</f>
        <v>1.3877905602408209</v>
      </c>
      <c r="AU506" s="1979">
        <f>IF(Construction!$F$31=Construction!$R$22,Oeko!DH506,Oeko!FU506)</f>
        <v>1.3915298127349836</v>
      </c>
      <c r="AV506" s="1979">
        <f>IF(Construction!$F$31=Construction!$R$22,Oeko!DI506,Oeko!FV506)</f>
        <v>1.3961225902549876</v>
      </c>
      <c r="AW506" s="1998">
        <f>IF(Construction!$F$31=Construction!$R$22,Oeko!DJ506,Oeko!FW506)</f>
        <v>1.2391196013917929</v>
      </c>
      <c r="AX506" s="1998">
        <f>IF(Construction!$F$31=Construction!$R$22,Oeko!DK506,Oeko!FX506)</f>
        <v>1.2428514423348906</v>
      </c>
      <c r="AY506" s="1998">
        <f>IF(Construction!$F$31=Construction!$R$22,Oeko!DL506,Oeko!FY506)</f>
        <v>1.2471782144428303</v>
      </c>
      <c r="AZ506" s="1998">
        <f>IF(Construction!$F$31=Construction!$R$22,Oeko!DM506,Oeko!FZ506)</f>
        <v>1.2521540023669608</v>
      </c>
      <c r="BA506" s="1998">
        <f>IF(Construction!$F$31=Construction!$R$22,Oeko!DN506,Oeko!GA506)</f>
        <v>1.2582655679694255</v>
      </c>
      <c r="BB506" s="1979">
        <f>IF(Construction!$F$31=Construction!$R$22,Oeko!DO506,Oeko!GB506)</f>
        <v>0.40271011701837661</v>
      </c>
      <c r="BC506" s="1979">
        <f>IF(Construction!$F$31=Construction!$R$22,Oeko!DP506,Oeko!GC506)</f>
        <v>0.40308282440170867</v>
      </c>
      <c r="BD506" s="1979">
        <f>IF(Construction!$F$31=Construction!$R$22,Oeko!DQ506,Oeko!GD506)</f>
        <v>0.40351490110273969</v>
      </c>
      <c r="BE506" s="1979">
        <f>IF(Construction!$F$31=Construction!$R$22,Oeko!DR506,Oeko!GE506)</f>
        <v>0.40401954030318049</v>
      </c>
      <c r="BF506" s="1979">
        <f>IF(Construction!$F$31=Construction!$R$22,Oeko!DS506,Oeko!GF506)</f>
        <v>0.40464621643444687</v>
      </c>
      <c r="BG506" s="1998">
        <f>IF(Construction!$F$31=Construction!$R$22,Oeko!DT506,Oeko!GG506)</f>
        <v>0.33060466562117691</v>
      </c>
      <c r="BH506" s="1998">
        <f>IF(Construction!$F$31=Construction!$R$22,Oeko!DU506,Oeko!GH506)</f>
        <v>0.3308831668143562</v>
      </c>
      <c r="BI506" s="1998">
        <f>IF(Construction!$F$31=Construction!$R$22,Oeko!DV506,Oeko!GI506)</f>
        <v>0.33120603102945773</v>
      </c>
      <c r="BJ506" s="1998">
        <f>IF(Construction!$F$31=Construction!$R$22,Oeko!DW506,Oeko!GJ506)</f>
        <v>0.33158311671579765</v>
      </c>
      <c r="BK506" s="2026">
        <f>IF(Construction!$F$31=Construction!$R$22,Oeko!DX506,Oeko!GK506)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IF(Construction!$F$31=Construction!$R$22,Oeko!BQ507,Oeko!ED507)</f>
        <v>0</v>
      </c>
      <c r="E507" s="1979">
        <f>IF(Construction!$F$31=Construction!$R$22,Oeko!BR507,Oeko!EE507)</f>
        <v>0</v>
      </c>
      <c r="F507" s="1979">
        <f>IF(Construction!$F$31=Construction!$R$22,Oeko!BS507,Oeko!EF507)</f>
        <v>0</v>
      </c>
      <c r="G507" s="1979">
        <f>IF(Construction!$F$31=Construction!$R$22,Oeko!BT507,Oeko!EG507)</f>
        <v>0</v>
      </c>
      <c r="H507" s="1979">
        <f>IF(Construction!$F$31=Construction!$R$22,Oeko!BU507,Oeko!EH507)</f>
        <v>0</v>
      </c>
      <c r="I507" s="1998">
        <f>IF(Construction!$F$31=Construction!$R$22,Oeko!BV507,Oeko!EI507)</f>
        <v>0</v>
      </c>
      <c r="J507" s="1998">
        <f>IF(Construction!$F$31=Construction!$R$22,Oeko!BW507,Oeko!EJ507)</f>
        <v>0</v>
      </c>
      <c r="K507" s="1998">
        <f>IF(Construction!$F$31=Construction!$R$22,Oeko!BX507,Oeko!EK507)</f>
        <v>0</v>
      </c>
      <c r="L507" s="1998">
        <f>IF(Construction!$F$31=Construction!$R$22,Oeko!BY507,Oeko!EL507)</f>
        <v>0</v>
      </c>
      <c r="M507" s="1998">
        <f>IF(Construction!$F$31=Construction!$R$22,Oeko!BZ507,Oeko!EM507)</f>
        <v>0</v>
      </c>
      <c r="N507" s="1979">
        <f>IF(Construction!$F$31=Construction!$R$22,Oeko!CA507,Oeko!EN507)</f>
        <v>0</v>
      </c>
      <c r="O507" s="1979">
        <f>IF(Construction!$F$31=Construction!$R$22,Oeko!CB507,Oeko!EO507)</f>
        <v>0</v>
      </c>
      <c r="P507" s="1979">
        <f>IF(Construction!$F$31=Construction!$R$22,Oeko!CC507,Oeko!EP507)</f>
        <v>0</v>
      </c>
      <c r="Q507" s="1979">
        <f>IF(Construction!$F$31=Construction!$R$22,Oeko!CD507,Oeko!EQ507)</f>
        <v>0</v>
      </c>
      <c r="R507" s="1979">
        <f>IF(Construction!$F$31=Construction!$R$22,Oeko!CE507,Oeko!ER507)</f>
        <v>0</v>
      </c>
      <c r="S507" s="1998">
        <f>IF(Construction!$F$31=Construction!$R$22,Oeko!CF507,Oeko!ES507)</f>
        <v>0</v>
      </c>
      <c r="T507" s="1998">
        <f>IF(Construction!$F$31=Construction!$R$22,Oeko!CG507,Oeko!ET507)</f>
        <v>0</v>
      </c>
      <c r="U507" s="1998">
        <f>IF(Construction!$F$31=Construction!$R$22,Oeko!CH507,Oeko!EU507)</f>
        <v>0</v>
      </c>
      <c r="V507" s="1998">
        <f>IF(Construction!$F$31=Construction!$R$22,Oeko!CI507,Oeko!EV507)</f>
        <v>0</v>
      </c>
      <c r="W507" s="1998">
        <f>IF(Construction!$F$31=Construction!$R$22,Oeko!CJ507,Oeko!EW507)</f>
        <v>0</v>
      </c>
      <c r="X507" s="1979">
        <f>IF(Construction!$F$31=Construction!$R$22,Oeko!CK507,Oeko!EX507)</f>
        <v>0</v>
      </c>
      <c r="Y507" s="1979">
        <f>IF(Construction!$F$31=Construction!$R$22,Oeko!CL507,Oeko!EY507)</f>
        <v>0</v>
      </c>
      <c r="Z507" s="1979">
        <f>IF(Construction!$F$31=Construction!$R$22,Oeko!CM507,Oeko!EZ507)</f>
        <v>0</v>
      </c>
      <c r="AA507" s="1979">
        <f>IF(Construction!$F$31=Construction!$R$22,Oeko!CN507,Oeko!FA507)</f>
        <v>0</v>
      </c>
      <c r="AB507" s="1979">
        <f>IF(Construction!$F$31=Construction!$R$22,Oeko!CO507,Oeko!FB507)</f>
        <v>0</v>
      </c>
      <c r="AC507" s="1998">
        <f>IF(Construction!$F$31=Construction!$R$22,Oeko!CP507,Oeko!FC507)</f>
        <v>0</v>
      </c>
      <c r="AD507" s="1998">
        <f>IF(Construction!$F$31=Construction!$R$22,Oeko!CQ507,Oeko!FD507)</f>
        <v>0</v>
      </c>
      <c r="AE507" s="1998">
        <f>IF(Construction!$F$31=Construction!$R$22,Oeko!CR507,Oeko!FE507)</f>
        <v>0</v>
      </c>
      <c r="AF507" s="1998">
        <f>IF(Construction!$F$31=Construction!$R$22,Oeko!CS507,Oeko!FF507)</f>
        <v>0</v>
      </c>
      <c r="AG507" s="1998">
        <f>IF(Construction!$F$31=Construction!$R$22,Oeko!CT507,Oeko!FG507)</f>
        <v>0</v>
      </c>
      <c r="AH507" s="1979">
        <f>IF(Construction!$F$31=Construction!$R$22,Oeko!CU507,Oeko!FH507)</f>
        <v>0.16050637593425063</v>
      </c>
      <c r="AI507" s="1979">
        <f>IF(Construction!$F$31=Construction!$R$22,Oeko!CV507,Oeko!FI507)</f>
        <v>0.16097094515311</v>
      </c>
      <c r="AJ507" s="1979">
        <f>IF(Construction!$F$31=Construction!$R$22,Oeko!CW507,Oeko!FJ507)</f>
        <v>0.16150957613149763</v>
      </c>
      <c r="AK507" s="1979">
        <f>IF(Construction!$F$31=Construction!$R$22,Oeko!CX507,Oeko!FK507)</f>
        <v>0.16212900175664346</v>
      </c>
      <c r="AL507" s="1979">
        <f>IF(Construction!$F$31=Construction!$R$22,Oeko!CY507,Oeko!FL507)</f>
        <v>0.16288981801361604</v>
      </c>
      <c r="AM507" s="1998">
        <f>IF(Construction!$F$31=Construction!$R$22,Oeko!CZ507,Oeko!FM507)</f>
        <v>0</v>
      </c>
      <c r="AN507" s="1998">
        <f>IF(Construction!$F$31=Construction!$R$22,Oeko!DA507,Oeko!FN507)</f>
        <v>0</v>
      </c>
      <c r="AO507" s="1998">
        <f>IF(Construction!$F$31=Construction!$R$22,Oeko!DB507,Oeko!FO507)</f>
        <v>0</v>
      </c>
      <c r="AP507" s="1998">
        <f>IF(Construction!$F$31=Construction!$R$22,Oeko!DC507,Oeko!FP507)</f>
        <v>0</v>
      </c>
      <c r="AQ507" s="1998">
        <f>IF(Construction!$F$31=Construction!$R$22,Oeko!DD507,Oeko!FQ507)</f>
        <v>0</v>
      </c>
      <c r="AR507" s="1979">
        <f>IF(Construction!$F$31=Construction!$R$22,Oeko!DE507,Oeko!FR507)</f>
        <v>1.2490833141222462</v>
      </c>
      <c r="AS507" s="1979">
        <f>IF(Construction!$F$31=Construction!$R$22,Oeko!DF507,Oeko!FS507)</f>
        <v>1.252822566616409</v>
      </c>
      <c r="AT507" s="1979">
        <f>IF(Construction!$F$31=Construction!$R$22,Oeko!DG507,Oeko!FT507)</f>
        <v>1.2571579318270323</v>
      </c>
      <c r="AU507" s="1979">
        <f>IF(Construction!$F$31=Construction!$R$22,Oeko!DH507,Oeko!FU507)</f>
        <v>1.2621436018192493</v>
      </c>
      <c r="AV507" s="1979">
        <f>IF(Construction!$F$31=Construction!$R$22,Oeko!DI507,Oeko!FV507)</f>
        <v>1.2682673051792548</v>
      </c>
      <c r="AW507" s="1998">
        <f>IF(Construction!$F$31=Construction!$R$22,Oeko!DJ507,Oeko!FW507)</f>
        <v>1.2470479786023814</v>
      </c>
      <c r="AX507" s="1998">
        <f>IF(Construction!$F$31=Construction!$R$22,Oeko!DK507,Oeko!FX507)</f>
        <v>1.2507798195454793</v>
      </c>
      <c r="AY507" s="1998">
        <f>IF(Construction!$F$31=Construction!$R$22,Oeko!DL507,Oeko!FY507)</f>
        <v>1.2551065916534188</v>
      </c>
      <c r="AZ507" s="1998">
        <f>IF(Construction!$F$31=Construction!$R$22,Oeko!DM507,Oeko!FZ507)</f>
        <v>1.2600823795775493</v>
      </c>
      <c r="BA507" s="1998">
        <f>IF(Construction!$F$31=Construction!$R$22,Oeko!DN507,Oeko!GA507)</f>
        <v>1.2661939451800137</v>
      </c>
      <c r="BB507" s="1979">
        <f>IF(Construction!$F$31=Construction!$R$22,Oeko!DO507,Oeko!GB507)</f>
        <v>0.40326413170137032</v>
      </c>
      <c r="BC507" s="1979">
        <f>IF(Construction!$F$31=Construction!$R$22,Oeko!DP507,Oeko!GC507)</f>
        <v>0.40363683908470244</v>
      </c>
      <c r="BD507" s="1979">
        <f>IF(Construction!$F$31=Construction!$R$22,Oeko!DQ507,Oeko!GD507)</f>
        <v>0.40406891578573345</v>
      </c>
      <c r="BE507" s="1979">
        <f>IF(Construction!$F$31=Construction!$R$22,Oeko!DR507,Oeko!GE507)</f>
        <v>0.4045735549861742</v>
      </c>
      <c r="BF507" s="1979">
        <f>IF(Construction!$F$31=Construction!$R$22,Oeko!DS507,Oeko!GF507)</f>
        <v>0.40520023111744058</v>
      </c>
      <c r="BG507" s="1998">
        <f>IF(Construction!$F$31=Construction!$R$22,Oeko!DT507,Oeko!GG507)</f>
        <v>0.33205359888634589</v>
      </c>
      <c r="BH507" s="1998">
        <f>IF(Construction!$F$31=Construction!$R$22,Oeko!DU507,Oeko!GH507)</f>
        <v>0.33233210007952502</v>
      </c>
      <c r="BI507" s="1998">
        <f>IF(Construction!$F$31=Construction!$R$22,Oeko!DV507,Oeko!GI507)</f>
        <v>0.3326549642946266</v>
      </c>
      <c r="BJ507" s="1998">
        <f>IF(Construction!$F$31=Construction!$R$22,Oeko!DW507,Oeko!GJ507)</f>
        <v>0.33303204998096658</v>
      </c>
      <c r="BK507" s="2026">
        <f>IF(Construction!$F$31=Construction!$R$22,Oeko!DX507,Oeko!GK507)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IF(Construction!$F$31=Construction!$R$22,Oeko!BQ508,Oeko!ED508)</f>
        <v>0</v>
      </c>
      <c r="E508" s="1979">
        <f>IF(Construction!$F$31=Construction!$R$22,Oeko!BR508,Oeko!EE508)</f>
        <v>0</v>
      </c>
      <c r="F508" s="1979">
        <f>IF(Construction!$F$31=Construction!$R$22,Oeko!BS508,Oeko!EF508)</f>
        <v>0</v>
      </c>
      <c r="G508" s="1979">
        <f>IF(Construction!$F$31=Construction!$R$22,Oeko!BT508,Oeko!EG508)</f>
        <v>0</v>
      </c>
      <c r="H508" s="1979">
        <f>IF(Construction!$F$31=Construction!$R$22,Oeko!BU508,Oeko!EH508)</f>
        <v>0</v>
      </c>
      <c r="I508" s="1998">
        <f>IF(Construction!$F$31=Construction!$R$22,Oeko!BV508,Oeko!EI508)</f>
        <v>0</v>
      </c>
      <c r="J508" s="1998">
        <f>IF(Construction!$F$31=Construction!$R$22,Oeko!BW508,Oeko!EJ508)</f>
        <v>0</v>
      </c>
      <c r="K508" s="1998">
        <f>IF(Construction!$F$31=Construction!$R$22,Oeko!BX508,Oeko!EK508)</f>
        <v>0</v>
      </c>
      <c r="L508" s="1998">
        <f>IF(Construction!$F$31=Construction!$R$22,Oeko!BY508,Oeko!EL508)</f>
        <v>0</v>
      </c>
      <c r="M508" s="1998">
        <f>IF(Construction!$F$31=Construction!$R$22,Oeko!BZ508,Oeko!EM508)</f>
        <v>0</v>
      </c>
      <c r="N508" s="1979">
        <f>IF(Construction!$F$31=Construction!$R$22,Oeko!CA508,Oeko!EN508)</f>
        <v>0</v>
      </c>
      <c r="O508" s="1979">
        <f>IF(Construction!$F$31=Construction!$R$22,Oeko!CB508,Oeko!EO508)</f>
        <v>0</v>
      </c>
      <c r="P508" s="1979">
        <f>IF(Construction!$F$31=Construction!$R$22,Oeko!CC508,Oeko!EP508)</f>
        <v>0</v>
      </c>
      <c r="Q508" s="1979">
        <f>IF(Construction!$F$31=Construction!$R$22,Oeko!CD508,Oeko!EQ508)</f>
        <v>0</v>
      </c>
      <c r="R508" s="1979">
        <f>IF(Construction!$F$31=Construction!$R$22,Oeko!CE508,Oeko!ER508)</f>
        <v>0</v>
      </c>
      <c r="S508" s="1998">
        <f>IF(Construction!$F$31=Construction!$R$22,Oeko!CF508,Oeko!ES508)</f>
        <v>0</v>
      </c>
      <c r="T508" s="1998">
        <f>IF(Construction!$F$31=Construction!$R$22,Oeko!CG508,Oeko!ET508)</f>
        <v>0</v>
      </c>
      <c r="U508" s="1998">
        <f>IF(Construction!$F$31=Construction!$R$22,Oeko!CH508,Oeko!EU508)</f>
        <v>0</v>
      </c>
      <c r="V508" s="1998">
        <f>IF(Construction!$F$31=Construction!$R$22,Oeko!CI508,Oeko!EV508)</f>
        <v>0</v>
      </c>
      <c r="W508" s="1998">
        <f>IF(Construction!$F$31=Construction!$R$22,Oeko!CJ508,Oeko!EW508)</f>
        <v>0</v>
      </c>
      <c r="X508" s="1979">
        <f>IF(Construction!$F$31=Construction!$R$22,Oeko!CK508,Oeko!EX508)</f>
        <v>0</v>
      </c>
      <c r="Y508" s="1979">
        <f>IF(Construction!$F$31=Construction!$R$22,Oeko!CL508,Oeko!EY508)</f>
        <v>0</v>
      </c>
      <c r="Z508" s="1979">
        <f>IF(Construction!$F$31=Construction!$R$22,Oeko!CM508,Oeko!EZ508)</f>
        <v>0</v>
      </c>
      <c r="AA508" s="1979">
        <f>IF(Construction!$F$31=Construction!$R$22,Oeko!CN508,Oeko!FA508)</f>
        <v>0</v>
      </c>
      <c r="AB508" s="1979">
        <f>IF(Construction!$F$31=Construction!$R$22,Oeko!CO508,Oeko!FB508)</f>
        <v>0</v>
      </c>
      <c r="AC508" s="1998">
        <f>IF(Construction!$F$31=Construction!$R$22,Oeko!CP508,Oeko!FC508)</f>
        <v>0</v>
      </c>
      <c r="AD508" s="1998">
        <f>IF(Construction!$F$31=Construction!$R$22,Oeko!CQ508,Oeko!FD508)</f>
        <v>0</v>
      </c>
      <c r="AE508" s="1998">
        <f>IF(Construction!$F$31=Construction!$R$22,Oeko!CR508,Oeko!FE508)</f>
        <v>0</v>
      </c>
      <c r="AF508" s="1998">
        <f>IF(Construction!$F$31=Construction!$R$22,Oeko!CS508,Oeko!FF508)</f>
        <v>0</v>
      </c>
      <c r="AG508" s="1998">
        <f>IF(Construction!$F$31=Construction!$R$22,Oeko!CT508,Oeko!FG508)</f>
        <v>0</v>
      </c>
      <c r="AH508" s="1979">
        <f>IF(Construction!$F$31=Construction!$R$22,Oeko!CU508,Oeko!FH508)</f>
        <v>0.16166603504858315</v>
      </c>
      <c r="AI508" s="1979">
        <f>IF(Construction!$F$31=Construction!$R$22,Oeko!CV508,Oeko!FI508)</f>
        <v>0.16213060426744252</v>
      </c>
      <c r="AJ508" s="1979">
        <f>IF(Construction!$F$31=Construction!$R$22,Oeko!CW508,Oeko!FJ508)</f>
        <v>0.16266923524583018</v>
      </c>
      <c r="AK508" s="1979">
        <f>IF(Construction!$F$31=Construction!$R$22,Oeko!CX508,Oeko!FK508)</f>
        <v>0.16328866087097602</v>
      </c>
      <c r="AL508" s="1979">
        <f>IF(Construction!$F$31=Construction!$R$22,Oeko!CY508,Oeko!FL508)</f>
        <v>0.16404947712794857</v>
      </c>
      <c r="AM508" s="1998">
        <f>IF(Construction!$F$31=Construction!$R$22,Oeko!CZ508,Oeko!FM508)</f>
        <v>0</v>
      </c>
      <c r="AN508" s="1998">
        <f>IF(Construction!$F$31=Construction!$R$22,Oeko!DA508,Oeko!FN508)</f>
        <v>0</v>
      </c>
      <c r="AO508" s="1998">
        <f>IF(Construction!$F$31=Construction!$R$22,Oeko!DB508,Oeko!FO508)</f>
        <v>0</v>
      </c>
      <c r="AP508" s="1998">
        <f>IF(Construction!$F$31=Construction!$R$22,Oeko!DC508,Oeko!FP508)</f>
        <v>0</v>
      </c>
      <c r="AQ508" s="1998">
        <f>IF(Construction!$F$31=Construction!$R$22,Oeko!DD508,Oeko!FQ508)</f>
        <v>0</v>
      </c>
      <c r="AR508" s="1979">
        <f>IF(Construction!$F$31=Construction!$R$22,Oeko!DE508,Oeko!FR508)</f>
        <v>1.2734121914588319</v>
      </c>
      <c r="AS508" s="1979">
        <f>IF(Construction!$F$31=Construction!$R$22,Oeko!DF508,Oeko!FS508)</f>
        <v>1.2771514439529945</v>
      </c>
      <c r="AT508" s="1979">
        <f>IF(Construction!$F$31=Construction!$R$22,Oeko!DG508,Oeko!FT508)</f>
        <v>1.2814868091636182</v>
      </c>
      <c r="AU508" s="1979">
        <f>IF(Construction!$F$31=Construction!$R$22,Oeko!DH508,Oeko!FU508)</f>
        <v>1.2864724791558348</v>
      </c>
      <c r="AV508" s="1979">
        <f>IF(Construction!$F$31=Construction!$R$22,Oeko!DI508,Oeko!FV508)</f>
        <v>1.2925961825158405</v>
      </c>
      <c r="AW508" s="1998">
        <f>IF(Construction!$F$31=Construction!$R$22,Oeko!DJ508,Oeko!FW508)</f>
        <v>0.97026858546029338</v>
      </c>
      <c r="AX508" s="1998">
        <f>IF(Construction!$F$31=Construction!$R$22,Oeko!DK508,Oeko!FX508)</f>
        <v>0.97586634687494034</v>
      </c>
      <c r="AY508" s="1998">
        <f>IF(Construction!$F$31=Construction!$R$22,Oeko!DL508,Oeko!FY508)</f>
        <v>0.98235650503684968</v>
      </c>
      <c r="AZ508" s="1998">
        <f>IF(Construction!$F$31=Construction!$R$22,Oeko!DM508,Oeko!FZ508)</f>
        <v>0.9898201869230453</v>
      </c>
      <c r="BA508" s="1998">
        <f>IF(Construction!$F$31=Construction!$R$22,Oeko!DN508,Oeko!GA508)</f>
        <v>0.99898753532674212</v>
      </c>
      <c r="BB508" s="1979">
        <f>IF(Construction!$F$31=Construction!$R$22,Oeko!DO508,Oeko!GB508)</f>
        <v>0.4049261757503515</v>
      </c>
      <c r="BC508" s="1979">
        <f>IF(Construction!$F$31=Construction!$R$22,Oeko!DP508,Oeko!GC508)</f>
        <v>0.40529888313368356</v>
      </c>
      <c r="BD508" s="1979">
        <f>IF(Construction!$F$31=Construction!$R$22,Oeko!DQ508,Oeko!GD508)</f>
        <v>0.40573095983471463</v>
      </c>
      <c r="BE508" s="1979">
        <f>IF(Construction!$F$31=Construction!$R$22,Oeko!DR508,Oeko!GE508)</f>
        <v>0.40623559903515538</v>
      </c>
      <c r="BF508" s="1979">
        <f>IF(Construction!$F$31=Construction!$R$22,Oeko!DS508,Oeko!GF508)</f>
        <v>0.40686227516642171</v>
      </c>
      <c r="BG508" s="1998">
        <f>IF(Construction!$F$31=Construction!$R$22,Oeko!DT508,Oeko!GG508)</f>
        <v>0.40640820984369602</v>
      </c>
      <c r="BH508" s="1998">
        <f>IF(Construction!$F$31=Construction!$R$22,Oeko!DU508,Oeko!GH508)</f>
        <v>0.40677954476793499</v>
      </c>
      <c r="BI508" s="1998">
        <f>IF(Construction!$F$31=Construction!$R$22,Oeko!DV508,Oeko!GI508)</f>
        <v>0.4072100303880703</v>
      </c>
      <c r="BJ508" s="1998">
        <f>IF(Construction!$F$31=Construction!$R$22,Oeko!DW508,Oeko!GJ508)</f>
        <v>0.40771281130319031</v>
      </c>
      <c r="BK508" s="2026">
        <f>IF(Construction!$F$31=Construction!$R$22,Oeko!DX508,Oeko!GK508)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IF(Construction!$F$31=Construction!$R$22,Oeko!BQ509,Oeko!ED509)</f>
        <v>0</v>
      </c>
      <c r="E509" s="1979">
        <f>IF(Construction!$F$31=Construction!$R$22,Oeko!BR509,Oeko!EE509)</f>
        <v>0</v>
      </c>
      <c r="F509" s="1979">
        <f>IF(Construction!$F$31=Construction!$R$22,Oeko!BS509,Oeko!EF509)</f>
        <v>0</v>
      </c>
      <c r="G509" s="1979">
        <f>IF(Construction!$F$31=Construction!$R$22,Oeko!BT509,Oeko!EG509)</f>
        <v>0</v>
      </c>
      <c r="H509" s="1979">
        <f>IF(Construction!$F$31=Construction!$R$22,Oeko!BU509,Oeko!EH509)</f>
        <v>0</v>
      </c>
      <c r="I509" s="1998">
        <f>IF(Construction!$F$31=Construction!$R$22,Oeko!BV509,Oeko!EI509)</f>
        <v>0</v>
      </c>
      <c r="J509" s="1998">
        <f>IF(Construction!$F$31=Construction!$R$22,Oeko!BW509,Oeko!EJ509)</f>
        <v>0</v>
      </c>
      <c r="K509" s="1998">
        <f>IF(Construction!$F$31=Construction!$R$22,Oeko!BX509,Oeko!EK509)</f>
        <v>0</v>
      </c>
      <c r="L509" s="1998">
        <f>IF(Construction!$F$31=Construction!$R$22,Oeko!BY509,Oeko!EL509)</f>
        <v>0</v>
      </c>
      <c r="M509" s="1998">
        <f>IF(Construction!$F$31=Construction!$R$22,Oeko!BZ509,Oeko!EM509)</f>
        <v>0</v>
      </c>
      <c r="N509" s="1979">
        <f>IF(Construction!$F$31=Construction!$R$22,Oeko!CA509,Oeko!EN509)</f>
        <v>0</v>
      </c>
      <c r="O509" s="1979">
        <f>IF(Construction!$F$31=Construction!$R$22,Oeko!CB509,Oeko!EO509)</f>
        <v>0</v>
      </c>
      <c r="P509" s="1979">
        <f>IF(Construction!$F$31=Construction!$R$22,Oeko!CC509,Oeko!EP509)</f>
        <v>0</v>
      </c>
      <c r="Q509" s="1979">
        <f>IF(Construction!$F$31=Construction!$R$22,Oeko!CD509,Oeko!EQ509)</f>
        <v>0</v>
      </c>
      <c r="R509" s="1979">
        <f>IF(Construction!$F$31=Construction!$R$22,Oeko!CE509,Oeko!ER509)</f>
        <v>0</v>
      </c>
      <c r="S509" s="1998">
        <f>IF(Construction!$F$31=Construction!$R$22,Oeko!CF509,Oeko!ES509)</f>
        <v>0</v>
      </c>
      <c r="T509" s="1998">
        <f>IF(Construction!$F$31=Construction!$R$22,Oeko!CG509,Oeko!ET509)</f>
        <v>0</v>
      </c>
      <c r="U509" s="1998">
        <f>IF(Construction!$F$31=Construction!$R$22,Oeko!CH509,Oeko!EU509)</f>
        <v>0</v>
      </c>
      <c r="V509" s="1998">
        <f>IF(Construction!$F$31=Construction!$R$22,Oeko!CI509,Oeko!EV509)</f>
        <v>0</v>
      </c>
      <c r="W509" s="1998">
        <f>IF(Construction!$F$31=Construction!$R$22,Oeko!CJ509,Oeko!EW509)</f>
        <v>0</v>
      </c>
      <c r="X509" s="1979">
        <f>IF(Construction!$F$31=Construction!$R$22,Oeko!CK509,Oeko!EX509)</f>
        <v>0</v>
      </c>
      <c r="Y509" s="1979">
        <f>IF(Construction!$F$31=Construction!$R$22,Oeko!CL509,Oeko!EY509)</f>
        <v>0</v>
      </c>
      <c r="Z509" s="1979">
        <f>IF(Construction!$F$31=Construction!$R$22,Oeko!CM509,Oeko!EZ509)</f>
        <v>0</v>
      </c>
      <c r="AA509" s="1979">
        <f>IF(Construction!$F$31=Construction!$R$22,Oeko!CN509,Oeko!FA509)</f>
        <v>0</v>
      </c>
      <c r="AB509" s="1979">
        <f>IF(Construction!$F$31=Construction!$R$22,Oeko!CO509,Oeko!FB509)</f>
        <v>0</v>
      </c>
      <c r="AC509" s="1998">
        <f>IF(Construction!$F$31=Construction!$R$22,Oeko!CP509,Oeko!FC509)</f>
        <v>0</v>
      </c>
      <c r="AD509" s="1998">
        <f>IF(Construction!$F$31=Construction!$R$22,Oeko!CQ509,Oeko!FD509)</f>
        <v>0</v>
      </c>
      <c r="AE509" s="1998">
        <f>IF(Construction!$F$31=Construction!$R$22,Oeko!CR509,Oeko!FE509)</f>
        <v>0</v>
      </c>
      <c r="AF509" s="1998">
        <f>IF(Construction!$F$31=Construction!$R$22,Oeko!CS509,Oeko!FF509)</f>
        <v>0</v>
      </c>
      <c r="AG509" s="1998">
        <f>IF(Construction!$F$31=Construction!$R$22,Oeko!CT509,Oeko!FG509)</f>
        <v>0</v>
      </c>
      <c r="AH509" s="1979">
        <f>IF(Construction!$F$31=Construction!$R$22,Oeko!CU509,Oeko!FH509)</f>
        <v>0.16273884744510222</v>
      </c>
      <c r="AI509" s="1979">
        <f>IF(Construction!$F$31=Construction!$R$22,Oeko!CV509,Oeko!FI509)</f>
        <v>0.1632034166639616</v>
      </c>
      <c r="AJ509" s="1979">
        <f>IF(Construction!$F$31=Construction!$R$22,Oeko!CW509,Oeko!FJ509)</f>
        <v>0.16374204764234926</v>
      </c>
      <c r="AK509" s="1979">
        <f>IF(Construction!$F$31=Construction!$R$22,Oeko!CX509,Oeko!FK509)</f>
        <v>0.16436147326749506</v>
      </c>
      <c r="AL509" s="1979">
        <f>IF(Construction!$F$31=Construction!$R$22,Oeko!CY509,Oeko!FL509)</f>
        <v>0.16512228952446764</v>
      </c>
      <c r="AM509" s="1998">
        <f>IF(Construction!$F$31=Construction!$R$22,Oeko!CZ509,Oeko!FM509)</f>
        <v>0</v>
      </c>
      <c r="AN509" s="1998">
        <f>IF(Construction!$F$31=Construction!$R$22,Oeko!DA509,Oeko!FN509)</f>
        <v>0</v>
      </c>
      <c r="AO509" s="1998">
        <f>IF(Construction!$F$31=Construction!$R$22,Oeko!DB509,Oeko!FO509)</f>
        <v>0</v>
      </c>
      <c r="AP509" s="1998">
        <f>IF(Construction!$F$31=Construction!$R$22,Oeko!DC509,Oeko!FP509)</f>
        <v>0</v>
      </c>
      <c r="AQ509" s="1998">
        <f>IF(Construction!$F$31=Construction!$R$22,Oeko!DD509,Oeko!FQ509)</f>
        <v>0</v>
      </c>
      <c r="AR509" s="1979">
        <f>IF(Construction!$F$31=Construction!$R$22,Oeko!DE509,Oeko!FR509)</f>
        <v>1</v>
      </c>
      <c r="AS509" s="1979">
        <f>IF(Construction!$F$31=Construction!$R$22,Oeko!DF509,Oeko!FS509)</f>
        <v>1.0056088787412443</v>
      </c>
      <c r="AT509" s="1979">
        <f>IF(Construction!$F$31=Construction!$R$22,Oeko!DG509,Oeko!FT509)</f>
        <v>1.0121119265571794</v>
      </c>
      <c r="AU509" s="1979">
        <f>IF(Construction!$F$31=Construction!$R$22,Oeko!DH509,Oeko!FU509)</f>
        <v>1.0195904315455047</v>
      </c>
      <c r="AV509" s="1979">
        <f>IF(Construction!$F$31=Construction!$R$22,Oeko!DI509,Oeko!FV509)</f>
        <v>1.0287759865855131</v>
      </c>
      <c r="AW509" s="1998">
        <f>IF(Construction!$F$31=Construction!$R$22,Oeko!DJ509,Oeko!FW509)</f>
        <v>1</v>
      </c>
      <c r="AX509" s="1998">
        <f>IF(Construction!$F$31=Construction!$R$22,Oeko!DK509,Oeko!FX509)</f>
        <v>1.005597761414647</v>
      </c>
      <c r="AY509" s="1998">
        <f>IF(Construction!$F$31=Construction!$R$22,Oeko!DL509,Oeko!FY509)</f>
        <v>1.0120879195765562</v>
      </c>
      <c r="AZ509" s="1998">
        <f>IF(Construction!$F$31=Construction!$R$22,Oeko!DM509,Oeko!FZ509)</f>
        <v>1.0195516014627519</v>
      </c>
      <c r="BA509" s="1998">
        <f>IF(Construction!$F$31=Construction!$R$22,Oeko!DN509,Oeko!GA509)</f>
        <v>1.0287189498664489</v>
      </c>
      <c r="BB509" s="1979">
        <f>IF(Construction!$F$31=Construction!$R$22,Oeko!DO509,Oeko!GB509)</f>
        <v>0.40643712488578893</v>
      </c>
      <c r="BC509" s="1979">
        <f>IF(Construction!$F$31=Construction!$R$22,Oeko!DP509,Oeko!GC509)</f>
        <v>0.40680983226912104</v>
      </c>
      <c r="BD509" s="1979">
        <f>IF(Construction!$F$31=Construction!$R$22,Oeko!DQ509,Oeko!GD509)</f>
        <v>0.40724190897015206</v>
      </c>
      <c r="BE509" s="1979">
        <f>IF(Construction!$F$31=Construction!$R$22,Oeko!DR509,Oeko!GE509)</f>
        <v>0.4077465481705928</v>
      </c>
      <c r="BF509" s="1979">
        <f>IF(Construction!$F$31=Construction!$R$22,Oeko!DS509,Oeko!GF509)</f>
        <v>0.40837322430185924</v>
      </c>
      <c r="BG509" s="1998">
        <f>IF(Construction!$F$31=Construction!$R$22,Oeko!DT509,Oeko!GG509)</f>
        <v>0.40772542190294048</v>
      </c>
      <c r="BH509" s="1998">
        <f>IF(Construction!$F$31=Construction!$R$22,Oeko!DU509,Oeko!GH509)</f>
        <v>0.40809675682717939</v>
      </c>
      <c r="BI509" s="1998">
        <f>IF(Construction!$F$31=Construction!$R$22,Oeko!DV509,Oeko!GI509)</f>
        <v>0.40852724244731486</v>
      </c>
      <c r="BJ509" s="1998">
        <f>IF(Construction!$F$31=Construction!$R$22,Oeko!DW509,Oeko!GJ509)</f>
        <v>0.40903002336243471</v>
      </c>
      <c r="BK509" s="2026">
        <f>IF(Construction!$F$31=Construction!$R$22,Oeko!DX509,Oeko!GK509)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IF(Construction!$F$31=Construction!$R$22,Oeko!BQ510,Oeko!ED510)</f>
        <v>0</v>
      </c>
      <c r="E510" s="1979">
        <f>IF(Construction!$F$31=Construction!$R$22,Oeko!BR510,Oeko!EE510)</f>
        <v>0</v>
      </c>
      <c r="F510" s="1979">
        <f>IF(Construction!$F$31=Construction!$R$22,Oeko!BS510,Oeko!EF510)</f>
        <v>0</v>
      </c>
      <c r="G510" s="1979">
        <f>IF(Construction!$F$31=Construction!$R$22,Oeko!BT510,Oeko!EG510)</f>
        <v>0</v>
      </c>
      <c r="H510" s="1979">
        <f>IF(Construction!$F$31=Construction!$R$22,Oeko!BU510,Oeko!EH510)</f>
        <v>0</v>
      </c>
      <c r="I510" s="1998">
        <f>IF(Construction!$F$31=Construction!$R$22,Oeko!BV510,Oeko!EI510)</f>
        <v>0</v>
      </c>
      <c r="J510" s="1998">
        <f>IF(Construction!$F$31=Construction!$R$22,Oeko!BW510,Oeko!EJ510)</f>
        <v>0</v>
      </c>
      <c r="K510" s="1998">
        <f>IF(Construction!$F$31=Construction!$R$22,Oeko!BX510,Oeko!EK510)</f>
        <v>0</v>
      </c>
      <c r="L510" s="1998">
        <f>IF(Construction!$F$31=Construction!$R$22,Oeko!BY510,Oeko!EL510)</f>
        <v>0</v>
      </c>
      <c r="M510" s="1998">
        <f>IF(Construction!$F$31=Construction!$R$22,Oeko!BZ510,Oeko!EM510)</f>
        <v>0</v>
      </c>
      <c r="N510" s="1979">
        <f>IF(Construction!$F$31=Construction!$R$22,Oeko!CA510,Oeko!EN510)</f>
        <v>0</v>
      </c>
      <c r="O510" s="1979">
        <f>IF(Construction!$F$31=Construction!$R$22,Oeko!CB510,Oeko!EO510)</f>
        <v>0</v>
      </c>
      <c r="P510" s="1979">
        <f>IF(Construction!$F$31=Construction!$R$22,Oeko!CC510,Oeko!EP510)</f>
        <v>0</v>
      </c>
      <c r="Q510" s="1979">
        <f>IF(Construction!$F$31=Construction!$R$22,Oeko!CD510,Oeko!EQ510)</f>
        <v>0</v>
      </c>
      <c r="R510" s="1979">
        <f>IF(Construction!$F$31=Construction!$R$22,Oeko!CE510,Oeko!ER510)</f>
        <v>0</v>
      </c>
      <c r="S510" s="1998">
        <f>IF(Construction!$F$31=Construction!$R$22,Oeko!CF510,Oeko!ES510)</f>
        <v>0</v>
      </c>
      <c r="T510" s="1998">
        <f>IF(Construction!$F$31=Construction!$R$22,Oeko!CG510,Oeko!ET510)</f>
        <v>0</v>
      </c>
      <c r="U510" s="1998">
        <f>IF(Construction!$F$31=Construction!$R$22,Oeko!CH510,Oeko!EU510)</f>
        <v>0</v>
      </c>
      <c r="V510" s="1998">
        <f>IF(Construction!$F$31=Construction!$R$22,Oeko!CI510,Oeko!EV510)</f>
        <v>0</v>
      </c>
      <c r="W510" s="1998">
        <f>IF(Construction!$F$31=Construction!$R$22,Oeko!CJ510,Oeko!EW510)</f>
        <v>0</v>
      </c>
      <c r="X510" s="1979">
        <f>IF(Construction!$F$31=Construction!$R$22,Oeko!CK510,Oeko!EX510)</f>
        <v>0</v>
      </c>
      <c r="Y510" s="1979">
        <f>IF(Construction!$F$31=Construction!$R$22,Oeko!CL510,Oeko!EY510)</f>
        <v>0</v>
      </c>
      <c r="Z510" s="1979">
        <f>IF(Construction!$F$31=Construction!$R$22,Oeko!CM510,Oeko!EZ510)</f>
        <v>0</v>
      </c>
      <c r="AA510" s="1979">
        <f>IF(Construction!$F$31=Construction!$R$22,Oeko!CN510,Oeko!FA510)</f>
        <v>0</v>
      </c>
      <c r="AB510" s="1979">
        <f>IF(Construction!$F$31=Construction!$R$22,Oeko!CO510,Oeko!FB510)</f>
        <v>0</v>
      </c>
      <c r="AC510" s="1998">
        <f>IF(Construction!$F$31=Construction!$R$22,Oeko!CP510,Oeko!FC510)</f>
        <v>0</v>
      </c>
      <c r="AD510" s="1998">
        <f>IF(Construction!$F$31=Construction!$R$22,Oeko!CQ510,Oeko!FD510)</f>
        <v>0</v>
      </c>
      <c r="AE510" s="1998">
        <f>IF(Construction!$F$31=Construction!$R$22,Oeko!CR510,Oeko!FE510)</f>
        <v>0</v>
      </c>
      <c r="AF510" s="1998">
        <f>IF(Construction!$F$31=Construction!$R$22,Oeko!CS510,Oeko!FF510)</f>
        <v>0</v>
      </c>
      <c r="AG510" s="1998">
        <f>IF(Construction!$F$31=Construction!$R$22,Oeko!CT510,Oeko!FG510)</f>
        <v>0</v>
      </c>
      <c r="AH510" s="1979">
        <f>IF(Construction!$F$31=Construction!$R$22,Oeko!CU510,Oeko!FH510)</f>
        <v>0.16461882345424045</v>
      </c>
      <c r="AI510" s="1979">
        <f>IF(Construction!$F$31=Construction!$R$22,Oeko!CV510,Oeko!FI510)</f>
        <v>0.16508339267309979</v>
      </c>
      <c r="AJ510" s="1979">
        <f>IF(Construction!$F$31=Construction!$R$22,Oeko!CW510,Oeko!FJ510)</f>
        <v>0.16562202365148748</v>
      </c>
      <c r="AK510" s="1979">
        <f>IF(Construction!$F$31=Construction!$R$22,Oeko!CX510,Oeko!FK510)</f>
        <v>0.16624144927663329</v>
      </c>
      <c r="AL510" s="1979">
        <f>IF(Construction!$F$31=Construction!$R$22,Oeko!CY510,Oeko!FL510)</f>
        <v>0.16700226553360584</v>
      </c>
      <c r="AM510" s="1998">
        <f>IF(Construction!$F$31=Construction!$R$22,Oeko!CZ510,Oeko!FM510)</f>
        <v>0</v>
      </c>
      <c r="AN510" s="1998">
        <f>IF(Construction!$F$31=Construction!$R$22,Oeko!DA510,Oeko!FN510)</f>
        <v>0</v>
      </c>
      <c r="AO510" s="1998">
        <f>IF(Construction!$F$31=Construction!$R$22,Oeko!DB510,Oeko!FO510)</f>
        <v>0</v>
      </c>
      <c r="AP510" s="1998">
        <f>IF(Construction!$F$31=Construction!$R$22,Oeko!DC510,Oeko!FP510)</f>
        <v>0</v>
      </c>
      <c r="AQ510" s="1998">
        <f>IF(Construction!$F$31=Construction!$R$22,Oeko!DD510,Oeko!FQ510)</f>
        <v>0</v>
      </c>
      <c r="AR510" s="1979">
        <f>IF(Construction!$F$31=Construction!$R$22,Oeko!DE510,Oeko!FR510)</f>
        <v>1.0208533234313593</v>
      </c>
      <c r="AS510" s="1979">
        <f>IF(Construction!$F$31=Construction!$R$22,Oeko!DF510,Oeko!FS510)</f>
        <v>1.0264622021726031</v>
      </c>
      <c r="AT510" s="1979">
        <f>IF(Construction!$F$31=Construction!$R$22,Oeko!DG510,Oeko!FT510)</f>
        <v>1.0329652499885382</v>
      </c>
      <c r="AU510" s="1979">
        <f>IF(Construction!$F$31=Construction!$R$22,Oeko!DH510,Oeko!FU510)</f>
        <v>1.0404437549768639</v>
      </c>
      <c r="AV510" s="1979">
        <f>IF(Construction!$F$31=Construction!$R$22,Oeko!DI510,Oeko!FV510)</f>
        <v>1.0496293100168721</v>
      </c>
      <c r="AW510" s="1998">
        <f>IF(Construction!$F$31=Construction!$R$22,Oeko!DJ510,Oeko!FW510)</f>
        <v>1.0280796692875007</v>
      </c>
      <c r="AX510" s="1998">
        <f>IF(Construction!$F$31=Construction!$R$22,Oeko!DK510,Oeko!FX510)</f>
        <v>1.0336774307021477</v>
      </c>
      <c r="AY510" s="1998">
        <f>IF(Construction!$F$31=Construction!$R$22,Oeko!DL510,Oeko!FY510)</f>
        <v>1.0401675888640569</v>
      </c>
      <c r="AZ510" s="1998">
        <f>IF(Construction!$F$31=Construction!$R$22,Oeko!DM510,Oeko!FZ510)</f>
        <v>1.0476312707502529</v>
      </c>
      <c r="BA510" s="1998">
        <f>IF(Construction!$F$31=Construction!$R$22,Oeko!DN510,Oeko!GA510)</f>
        <v>1.0567986191539496</v>
      </c>
      <c r="BB510" s="1979">
        <f>IF(Construction!$F$31=Construction!$R$22,Oeko!DO510,Oeko!GB510)</f>
        <v>0.55312736464217016</v>
      </c>
      <c r="BC510" s="1979">
        <f>IF(Construction!$F$31=Construction!$R$22,Oeko!DP510,Oeko!GC510)</f>
        <v>0.5536864257171682</v>
      </c>
      <c r="BD510" s="1979">
        <f>IF(Construction!$F$31=Construction!$R$22,Oeko!DQ510,Oeko!GD510)</f>
        <v>0.55433454076871469</v>
      </c>
      <c r="BE510" s="1979">
        <f>IF(Construction!$F$31=Construction!$R$22,Oeko!DR510,Oeko!GE510)</f>
        <v>0.55509149956937587</v>
      </c>
      <c r="BF510" s="1979">
        <f>IF(Construction!$F$31=Construction!$R$22,Oeko!DS510,Oeko!GF510)</f>
        <v>0.55603151376627546</v>
      </c>
      <c r="BG510" s="1998">
        <f>IF(Construction!$F$31=Construction!$R$22,Oeko!DT510,Oeko!GG510)</f>
        <v>0.55462818156496274</v>
      </c>
      <c r="BH510" s="1998">
        <f>IF(Construction!$F$31=Construction!$R$22,Oeko!DU510,Oeko!GH510)</f>
        <v>0.5551851839513211</v>
      </c>
      <c r="BI510" s="1998">
        <f>IF(Construction!$F$31=Construction!$R$22,Oeko!DV510,Oeko!GI510)</f>
        <v>0.55583091238152416</v>
      </c>
      <c r="BJ510" s="1998">
        <f>IF(Construction!$F$31=Construction!$R$22,Oeko!DW510,Oeko!GJ510)</f>
        <v>0.55658508375420412</v>
      </c>
      <c r="BK510" s="2026">
        <f>IF(Construction!$F$31=Construction!$R$22,Oeko!DX510,Oeko!GK510)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IF(Construction!$F$31=Construction!$R$22,Oeko!BQ511,Oeko!ED511)</f>
        <v>0</v>
      </c>
      <c r="E511" s="1979">
        <f>IF(Construction!$F$31=Construction!$R$22,Oeko!BR511,Oeko!EE511)</f>
        <v>0</v>
      </c>
      <c r="F511" s="1979">
        <f>IF(Construction!$F$31=Construction!$R$22,Oeko!BS511,Oeko!EF511)</f>
        <v>0</v>
      </c>
      <c r="G511" s="1979">
        <f>IF(Construction!$F$31=Construction!$R$22,Oeko!BT511,Oeko!EG511)</f>
        <v>0</v>
      </c>
      <c r="H511" s="1979">
        <f>IF(Construction!$F$31=Construction!$R$22,Oeko!BU511,Oeko!EH511)</f>
        <v>0</v>
      </c>
      <c r="I511" s="1998">
        <f>IF(Construction!$F$31=Construction!$R$22,Oeko!BV511,Oeko!EI511)</f>
        <v>0</v>
      </c>
      <c r="J511" s="1998">
        <f>IF(Construction!$F$31=Construction!$R$22,Oeko!BW511,Oeko!EJ511)</f>
        <v>0</v>
      </c>
      <c r="K511" s="1998">
        <f>IF(Construction!$F$31=Construction!$R$22,Oeko!BX511,Oeko!EK511)</f>
        <v>0</v>
      </c>
      <c r="L511" s="1998">
        <f>IF(Construction!$F$31=Construction!$R$22,Oeko!BY511,Oeko!EL511)</f>
        <v>0</v>
      </c>
      <c r="M511" s="1998">
        <f>IF(Construction!$F$31=Construction!$R$22,Oeko!BZ511,Oeko!EM511)</f>
        <v>0</v>
      </c>
      <c r="N511" s="1979">
        <f>IF(Construction!$F$31=Construction!$R$22,Oeko!CA511,Oeko!EN511)</f>
        <v>0</v>
      </c>
      <c r="O511" s="1979">
        <f>IF(Construction!$F$31=Construction!$R$22,Oeko!CB511,Oeko!EO511)</f>
        <v>0</v>
      </c>
      <c r="P511" s="1979">
        <f>IF(Construction!$F$31=Construction!$R$22,Oeko!CC511,Oeko!EP511)</f>
        <v>0</v>
      </c>
      <c r="Q511" s="1979">
        <f>IF(Construction!$F$31=Construction!$R$22,Oeko!CD511,Oeko!EQ511)</f>
        <v>0</v>
      </c>
      <c r="R511" s="1979">
        <f>IF(Construction!$F$31=Construction!$R$22,Oeko!CE511,Oeko!ER511)</f>
        <v>0</v>
      </c>
      <c r="S511" s="1998">
        <f>IF(Construction!$F$31=Construction!$R$22,Oeko!CF511,Oeko!ES511)</f>
        <v>0</v>
      </c>
      <c r="T511" s="1998">
        <f>IF(Construction!$F$31=Construction!$R$22,Oeko!CG511,Oeko!ET511)</f>
        <v>0</v>
      </c>
      <c r="U511" s="1998">
        <f>IF(Construction!$F$31=Construction!$R$22,Oeko!CH511,Oeko!EU511)</f>
        <v>0</v>
      </c>
      <c r="V511" s="1998">
        <f>IF(Construction!$F$31=Construction!$R$22,Oeko!CI511,Oeko!EV511)</f>
        <v>0</v>
      </c>
      <c r="W511" s="1998">
        <f>IF(Construction!$F$31=Construction!$R$22,Oeko!CJ511,Oeko!EW511)</f>
        <v>0</v>
      </c>
      <c r="X511" s="1979">
        <f>IF(Construction!$F$31=Construction!$R$22,Oeko!CK511,Oeko!EX511)</f>
        <v>0</v>
      </c>
      <c r="Y511" s="1979">
        <f>IF(Construction!$F$31=Construction!$R$22,Oeko!CL511,Oeko!EY511)</f>
        <v>0</v>
      </c>
      <c r="Z511" s="1979">
        <f>IF(Construction!$F$31=Construction!$R$22,Oeko!CM511,Oeko!EZ511)</f>
        <v>0</v>
      </c>
      <c r="AA511" s="1979">
        <f>IF(Construction!$F$31=Construction!$R$22,Oeko!CN511,Oeko!FA511)</f>
        <v>0</v>
      </c>
      <c r="AB511" s="1979">
        <f>IF(Construction!$F$31=Construction!$R$22,Oeko!CO511,Oeko!FB511)</f>
        <v>0</v>
      </c>
      <c r="AC511" s="1998">
        <f>IF(Construction!$F$31=Construction!$R$22,Oeko!CP511,Oeko!FC511)</f>
        <v>0</v>
      </c>
      <c r="AD511" s="1998">
        <f>IF(Construction!$F$31=Construction!$R$22,Oeko!CQ511,Oeko!FD511)</f>
        <v>0</v>
      </c>
      <c r="AE511" s="1998">
        <f>IF(Construction!$F$31=Construction!$R$22,Oeko!CR511,Oeko!FE511)</f>
        <v>0</v>
      </c>
      <c r="AF511" s="1998">
        <f>IF(Construction!$F$31=Construction!$R$22,Oeko!CS511,Oeko!FF511)</f>
        <v>0</v>
      </c>
      <c r="AG511" s="1998">
        <f>IF(Construction!$F$31=Construction!$R$22,Oeko!CT511,Oeko!FG511)</f>
        <v>0</v>
      </c>
      <c r="AH511" s="1979">
        <f>IF(Construction!$F$31=Construction!$R$22,Oeko!CU511,Oeko!FH511)</f>
        <v>0.12788952894593403</v>
      </c>
      <c r="AI511" s="1979">
        <f>IF(Construction!$F$31=Construction!$R$22,Oeko!CV511,Oeko!FI511)</f>
        <v>0.12858638277422305</v>
      </c>
      <c r="AJ511" s="1979">
        <f>IF(Construction!$F$31=Construction!$R$22,Oeko!CW511,Oeko!FJ511)</f>
        <v>0.12939432924180455</v>
      </c>
      <c r="AK511" s="1979">
        <f>IF(Construction!$F$31=Construction!$R$22,Oeko!CX511,Oeko!FK511)</f>
        <v>0.13032346767952327</v>
      </c>
      <c r="AL511" s="1979">
        <f>IF(Construction!$F$31=Construction!$R$22,Oeko!CY511,Oeko!FL511)</f>
        <v>0.13146469206498215</v>
      </c>
      <c r="AM511" s="1998">
        <f>IF(Construction!$F$31=Construction!$R$22,Oeko!CZ511,Oeko!FM511)</f>
        <v>0</v>
      </c>
      <c r="AN511" s="1998">
        <f>IF(Construction!$F$31=Construction!$R$22,Oeko!DA511,Oeko!FN511)</f>
        <v>0</v>
      </c>
      <c r="AO511" s="1998">
        <f>IF(Construction!$F$31=Construction!$R$22,Oeko!DB511,Oeko!FO511)</f>
        <v>0</v>
      </c>
      <c r="AP511" s="1998">
        <f>IF(Construction!$F$31=Construction!$R$22,Oeko!DC511,Oeko!FP511)</f>
        <v>0</v>
      </c>
      <c r="AQ511" s="1998">
        <f>IF(Construction!$F$31=Construction!$R$22,Oeko!DD511,Oeko!FQ511)</f>
        <v>0</v>
      </c>
      <c r="AR511" s="1979">
        <f>IF(Construction!$F$31=Construction!$R$22,Oeko!DE511,Oeko!FR511)</f>
        <v>1.053291826546807</v>
      </c>
      <c r="AS511" s="1979">
        <f>IF(Construction!$F$31=Construction!$R$22,Oeko!DF511,Oeko!FS511)</f>
        <v>1.0589007052880508</v>
      </c>
      <c r="AT511" s="1979">
        <f>IF(Construction!$F$31=Construction!$R$22,Oeko!DG511,Oeko!FT511)</f>
        <v>1.0654037531039859</v>
      </c>
      <c r="AU511" s="1979">
        <f>IF(Construction!$F$31=Construction!$R$22,Oeko!DH511,Oeko!FU511)</f>
        <v>1.0728822580923114</v>
      </c>
      <c r="AV511" s="1979">
        <f>IF(Construction!$F$31=Construction!$R$22,Oeko!DI511,Oeko!FV511)</f>
        <v>1.0820678131323196</v>
      </c>
      <c r="AW511" s="1998">
        <f>IF(Construction!$F$31=Construction!$R$22,Oeko!DJ511,Oeko!FW511)</f>
        <v>1.0526493799140639</v>
      </c>
      <c r="AX511" s="1998">
        <f>IF(Construction!$F$31=Construction!$R$22,Oeko!DK511,Oeko!FX511)</f>
        <v>1.0582471413287109</v>
      </c>
      <c r="AY511" s="1998">
        <f>IF(Construction!$F$31=Construction!$R$22,Oeko!DL511,Oeko!FY511)</f>
        <v>1.0647372994906201</v>
      </c>
      <c r="AZ511" s="1998">
        <f>IF(Construction!$F$31=Construction!$R$22,Oeko!DM511,Oeko!FZ511)</f>
        <v>1.0722009813768159</v>
      </c>
      <c r="BA511" s="1998">
        <f>IF(Construction!$F$31=Construction!$R$22,Oeko!DN511,Oeko!GA511)</f>
        <v>1.0813683297805128</v>
      </c>
      <c r="BB511" s="1979">
        <f>IF(Construction!$F$31=Construction!$R$22,Oeko!DO511,Oeko!GB511)</f>
        <v>0.55463831377760764</v>
      </c>
      <c r="BC511" s="1979">
        <f>IF(Construction!$F$31=Construction!$R$22,Oeko!DP511,Oeko!GC511)</f>
        <v>0.55519737485260579</v>
      </c>
      <c r="BD511" s="1979">
        <f>IF(Construction!$F$31=Construction!$R$22,Oeko!DQ511,Oeko!GD511)</f>
        <v>0.55584548990415217</v>
      </c>
      <c r="BE511" s="1979">
        <f>IF(Construction!$F$31=Construction!$R$22,Oeko!DR511,Oeko!GE511)</f>
        <v>0.55660244870481335</v>
      </c>
      <c r="BF511" s="1979">
        <f>IF(Construction!$F$31=Construction!$R$22,Oeko!DS511,Oeko!GF511)</f>
        <v>0.55754246290171283</v>
      </c>
      <c r="BG511" s="1998">
        <f>IF(Construction!$F$31=Construction!$R$22,Oeko!DT511,Oeko!GG511)</f>
        <v>0.55598302825447121</v>
      </c>
      <c r="BH511" s="1998">
        <f>IF(Construction!$F$31=Construction!$R$22,Oeko!DU511,Oeko!GH511)</f>
        <v>0.55654003064082969</v>
      </c>
      <c r="BI511" s="1998">
        <f>IF(Construction!$F$31=Construction!$R$22,Oeko!DV511,Oeko!GI511)</f>
        <v>0.55718575907103285</v>
      </c>
      <c r="BJ511" s="1998">
        <f>IF(Construction!$F$31=Construction!$R$22,Oeko!DW511,Oeko!GJ511)</f>
        <v>0.55793993044371271</v>
      </c>
      <c r="BK511" s="2026">
        <f>IF(Construction!$F$31=Construction!$R$22,Oeko!DX511,Oeko!GK511)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IF(Construction!$F$31=Construction!$R$22,Oeko!BQ512,Oeko!ED512)</f>
        <v>0</v>
      </c>
      <c r="E512" s="1979">
        <f>IF(Construction!$F$31=Construction!$R$22,Oeko!BR512,Oeko!EE512)</f>
        <v>0</v>
      </c>
      <c r="F512" s="1979">
        <f>IF(Construction!$F$31=Construction!$R$22,Oeko!BS512,Oeko!EF512)</f>
        <v>0</v>
      </c>
      <c r="G512" s="1979">
        <f>IF(Construction!$F$31=Construction!$R$22,Oeko!BT512,Oeko!EG512)</f>
        <v>0</v>
      </c>
      <c r="H512" s="1979">
        <f>IF(Construction!$F$31=Construction!$R$22,Oeko!BU512,Oeko!EH512)</f>
        <v>0</v>
      </c>
      <c r="I512" s="1998">
        <f>IF(Construction!$F$31=Construction!$R$22,Oeko!BV512,Oeko!EI512)</f>
        <v>0</v>
      </c>
      <c r="J512" s="1998">
        <f>IF(Construction!$F$31=Construction!$R$22,Oeko!BW512,Oeko!EJ512)</f>
        <v>0</v>
      </c>
      <c r="K512" s="1998">
        <f>IF(Construction!$F$31=Construction!$R$22,Oeko!BX512,Oeko!EK512)</f>
        <v>0</v>
      </c>
      <c r="L512" s="1998">
        <f>IF(Construction!$F$31=Construction!$R$22,Oeko!BY512,Oeko!EL512)</f>
        <v>0</v>
      </c>
      <c r="M512" s="1998">
        <f>IF(Construction!$F$31=Construction!$R$22,Oeko!BZ512,Oeko!EM512)</f>
        <v>0</v>
      </c>
      <c r="N512" s="1979">
        <f>IF(Construction!$F$31=Construction!$R$22,Oeko!CA512,Oeko!EN512)</f>
        <v>0</v>
      </c>
      <c r="O512" s="1979">
        <f>IF(Construction!$F$31=Construction!$R$22,Oeko!CB512,Oeko!EO512)</f>
        <v>0</v>
      </c>
      <c r="P512" s="1979">
        <f>IF(Construction!$F$31=Construction!$R$22,Oeko!CC512,Oeko!EP512)</f>
        <v>0</v>
      </c>
      <c r="Q512" s="1979">
        <f>IF(Construction!$F$31=Construction!$R$22,Oeko!CD512,Oeko!EQ512)</f>
        <v>0</v>
      </c>
      <c r="R512" s="1979">
        <f>IF(Construction!$F$31=Construction!$R$22,Oeko!CE512,Oeko!ER512)</f>
        <v>0</v>
      </c>
      <c r="S512" s="1998">
        <f>IF(Construction!$F$31=Construction!$R$22,Oeko!CF512,Oeko!ES512)</f>
        <v>0</v>
      </c>
      <c r="T512" s="1998">
        <f>IF(Construction!$F$31=Construction!$R$22,Oeko!CG512,Oeko!ET512)</f>
        <v>0</v>
      </c>
      <c r="U512" s="1998">
        <f>IF(Construction!$F$31=Construction!$R$22,Oeko!CH512,Oeko!EU512)</f>
        <v>0</v>
      </c>
      <c r="V512" s="1998">
        <f>IF(Construction!$F$31=Construction!$R$22,Oeko!CI512,Oeko!EV512)</f>
        <v>0</v>
      </c>
      <c r="W512" s="1998">
        <f>IF(Construction!$F$31=Construction!$R$22,Oeko!CJ512,Oeko!EW512)</f>
        <v>0</v>
      </c>
      <c r="X512" s="1979">
        <f>IF(Construction!$F$31=Construction!$R$22,Oeko!CK512,Oeko!EX512)</f>
        <v>0</v>
      </c>
      <c r="Y512" s="1979">
        <f>IF(Construction!$F$31=Construction!$R$22,Oeko!CL512,Oeko!EY512)</f>
        <v>0</v>
      </c>
      <c r="Z512" s="1979">
        <f>IF(Construction!$F$31=Construction!$R$22,Oeko!CM512,Oeko!EZ512)</f>
        <v>0</v>
      </c>
      <c r="AA512" s="1979">
        <f>IF(Construction!$F$31=Construction!$R$22,Oeko!CN512,Oeko!FA512)</f>
        <v>0</v>
      </c>
      <c r="AB512" s="1979">
        <f>IF(Construction!$F$31=Construction!$R$22,Oeko!CO512,Oeko!FB512)</f>
        <v>0</v>
      </c>
      <c r="AC512" s="1998">
        <f>IF(Construction!$F$31=Construction!$R$22,Oeko!CP512,Oeko!FC512)</f>
        <v>0</v>
      </c>
      <c r="AD512" s="1998">
        <f>IF(Construction!$F$31=Construction!$R$22,Oeko!CQ512,Oeko!FD512)</f>
        <v>0</v>
      </c>
      <c r="AE512" s="1998">
        <f>IF(Construction!$F$31=Construction!$R$22,Oeko!CR512,Oeko!FE512)</f>
        <v>0</v>
      </c>
      <c r="AF512" s="1998">
        <f>IF(Construction!$F$31=Construction!$R$22,Oeko!CS512,Oeko!FF512)</f>
        <v>0</v>
      </c>
      <c r="AG512" s="1998">
        <f>IF(Construction!$F$31=Construction!$R$22,Oeko!CT512,Oeko!FG512)</f>
        <v>0</v>
      </c>
      <c r="AH512" s="1979">
        <f>IF(Construction!$F$31=Construction!$R$22,Oeko!CU512,Oeko!FH512)</f>
        <v>0.12929951095278769</v>
      </c>
      <c r="AI512" s="1979">
        <f>IF(Construction!$F$31=Construction!$R$22,Oeko!CV512,Oeko!FI512)</f>
        <v>0.12999636478107671</v>
      </c>
      <c r="AJ512" s="1979">
        <f>IF(Construction!$F$31=Construction!$R$22,Oeko!CW512,Oeko!FJ512)</f>
        <v>0.13080431124865824</v>
      </c>
      <c r="AK512" s="1979">
        <f>IF(Construction!$F$31=Construction!$R$22,Oeko!CX512,Oeko!FK512)</f>
        <v>0.13173344968637693</v>
      </c>
      <c r="AL512" s="1979">
        <f>IF(Construction!$F$31=Construction!$R$22,Oeko!CY512,Oeko!FL512)</f>
        <v>0.13287467407183579</v>
      </c>
      <c r="AM512" s="1998">
        <f>IF(Construction!$F$31=Construction!$R$22,Oeko!CZ512,Oeko!FM512)</f>
        <v>0</v>
      </c>
      <c r="AN512" s="1998">
        <f>IF(Construction!$F$31=Construction!$R$22,Oeko!DA512,Oeko!FN512)</f>
        <v>0</v>
      </c>
      <c r="AO512" s="1998">
        <f>IF(Construction!$F$31=Construction!$R$22,Oeko!DB512,Oeko!FO512)</f>
        <v>0</v>
      </c>
      <c r="AP512" s="1998">
        <f>IF(Construction!$F$31=Construction!$R$22,Oeko!DC512,Oeko!FP512)</f>
        <v>0</v>
      </c>
      <c r="AQ512" s="1998">
        <f>IF(Construction!$F$31=Construction!$R$22,Oeko!DD512,Oeko!FQ512)</f>
        <v>0</v>
      </c>
      <c r="AR512" s="1979">
        <f>IF(Construction!$F$31=Construction!$R$22,Oeko!DE512,Oeko!FR512)</f>
        <v>1.0764621859149837</v>
      </c>
      <c r="AS512" s="1979">
        <f>IF(Construction!$F$31=Construction!$R$22,Oeko!DF512,Oeko!FS512)</f>
        <v>1.0820710646562277</v>
      </c>
      <c r="AT512" s="1979">
        <f>IF(Construction!$F$31=Construction!$R$22,Oeko!DG512,Oeko!FT512)</f>
        <v>1.0885741124721628</v>
      </c>
      <c r="AU512" s="1979">
        <f>IF(Construction!$F$31=Construction!$R$22,Oeko!DH512,Oeko!FU512)</f>
        <v>1.0960526174604883</v>
      </c>
      <c r="AV512" s="1979">
        <f>IF(Construction!$F$31=Construction!$R$22,Oeko!DI512,Oeko!FV512)</f>
        <v>1.1052381725004967</v>
      </c>
      <c r="AW512" s="1998">
        <f>IF(Construction!$F$31=Construction!$R$22,Oeko!DJ512,Oeko!FW512)</f>
        <v>1.0723051484153143</v>
      </c>
      <c r="AX512" s="1998">
        <f>IF(Construction!$F$31=Construction!$R$22,Oeko!DK512,Oeko!FX512)</f>
        <v>1.0779029098299613</v>
      </c>
      <c r="AY512" s="1998">
        <f>IF(Construction!$F$31=Construction!$R$22,Oeko!DL512,Oeko!FY512)</f>
        <v>1.0843930679918705</v>
      </c>
      <c r="AZ512" s="1998">
        <f>IF(Construction!$F$31=Construction!$R$22,Oeko!DM512,Oeko!FZ512)</f>
        <v>1.0918567498780662</v>
      </c>
      <c r="BA512" s="1998">
        <f>IF(Construction!$F$31=Construction!$R$22,Oeko!DN512,Oeko!GA512)</f>
        <v>1.1010240982817632</v>
      </c>
      <c r="BB512" s="1979">
        <f>IF(Construction!$F$31=Construction!$R$22,Oeko!DO512,Oeko!GB512)</f>
        <v>0.55652700019690438</v>
      </c>
      <c r="BC512" s="1979">
        <f>IF(Construction!$F$31=Construction!$R$22,Oeko!DP512,Oeko!GC512)</f>
        <v>0.55708606127190252</v>
      </c>
      <c r="BD512" s="1979">
        <f>IF(Construction!$F$31=Construction!$R$22,Oeko!DQ512,Oeko!GD512)</f>
        <v>0.5577341763234489</v>
      </c>
      <c r="BE512" s="1979">
        <f>IF(Construction!$F$31=Construction!$R$22,Oeko!DR512,Oeko!GE512)</f>
        <v>0.55849113512411008</v>
      </c>
      <c r="BF512" s="1979">
        <f>IF(Construction!$F$31=Construction!$R$22,Oeko!DS512,Oeko!GF512)</f>
        <v>0.55943114932100968</v>
      </c>
      <c r="BG512" s="1998">
        <f>IF(Construction!$F$31=Construction!$R$22,Oeko!DT512,Oeko!GG512)</f>
        <v>0.55722497105318747</v>
      </c>
      <c r="BH512" s="1998">
        <f>IF(Construction!$F$31=Construction!$R$22,Oeko!DU512,Oeko!GH512)</f>
        <v>0.55778197343954583</v>
      </c>
      <c r="BI512" s="1998">
        <f>IF(Construction!$F$31=Construction!$R$22,Oeko!DV512,Oeko!GI512)</f>
        <v>0.55842770186974899</v>
      </c>
      <c r="BJ512" s="1998">
        <f>IF(Construction!$F$31=Construction!$R$22,Oeko!DW512,Oeko!GJ512)</f>
        <v>0.55918187324242885</v>
      </c>
      <c r="BK512" s="2026">
        <f>IF(Construction!$F$31=Construction!$R$22,Oeko!DX512,Oeko!GK512)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IF(Construction!$F$31=Construction!$R$22,Oeko!BQ513,Oeko!ED513)</f>
        <v>0</v>
      </c>
      <c r="E513" s="1979">
        <f>IF(Construction!$F$31=Construction!$R$22,Oeko!BR513,Oeko!EE513)</f>
        <v>0</v>
      </c>
      <c r="F513" s="1979">
        <f>IF(Construction!$F$31=Construction!$R$22,Oeko!BS513,Oeko!EF513)</f>
        <v>0</v>
      </c>
      <c r="G513" s="1979">
        <f>IF(Construction!$F$31=Construction!$R$22,Oeko!BT513,Oeko!EG513)</f>
        <v>0</v>
      </c>
      <c r="H513" s="1979">
        <f>IF(Construction!$F$31=Construction!$R$22,Oeko!BU513,Oeko!EH513)</f>
        <v>0</v>
      </c>
      <c r="I513" s="1998">
        <f>IF(Construction!$F$31=Construction!$R$22,Oeko!BV513,Oeko!EI513)</f>
        <v>0</v>
      </c>
      <c r="J513" s="1998">
        <f>IF(Construction!$F$31=Construction!$R$22,Oeko!BW513,Oeko!EJ513)</f>
        <v>0</v>
      </c>
      <c r="K513" s="1998">
        <f>IF(Construction!$F$31=Construction!$R$22,Oeko!BX513,Oeko!EK513)</f>
        <v>0</v>
      </c>
      <c r="L513" s="1998">
        <f>IF(Construction!$F$31=Construction!$R$22,Oeko!BY513,Oeko!EL513)</f>
        <v>0</v>
      </c>
      <c r="M513" s="1998">
        <f>IF(Construction!$F$31=Construction!$R$22,Oeko!BZ513,Oeko!EM513)</f>
        <v>0</v>
      </c>
      <c r="N513" s="1979">
        <f>IF(Construction!$F$31=Construction!$R$22,Oeko!CA513,Oeko!EN513)</f>
        <v>0</v>
      </c>
      <c r="O513" s="1979">
        <f>IF(Construction!$F$31=Construction!$R$22,Oeko!CB513,Oeko!EO513)</f>
        <v>0</v>
      </c>
      <c r="P513" s="1979">
        <f>IF(Construction!$F$31=Construction!$R$22,Oeko!CC513,Oeko!EP513)</f>
        <v>0</v>
      </c>
      <c r="Q513" s="1979">
        <f>IF(Construction!$F$31=Construction!$R$22,Oeko!CD513,Oeko!EQ513)</f>
        <v>0</v>
      </c>
      <c r="R513" s="1979">
        <f>IF(Construction!$F$31=Construction!$R$22,Oeko!CE513,Oeko!ER513)</f>
        <v>0</v>
      </c>
      <c r="S513" s="1998">
        <f>IF(Construction!$F$31=Construction!$R$22,Oeko!CF513,Oeko!ES513)</f>
        <v>0</v>
      </c>
      <c r="T513" s="1998">
        <f>IF(Construction!$F$31=Construction!$R$22,Oeko!CG513,Oeko!ET513)</f>
        <v>0</v>
      </c>
      <c r="U513" s="1998">
        <f>IF(Construction!$F$31=Construction!$R$22,Oeko!CH513,Oeko!EU513)</f>
        <v>0</v>
      </c>
      <c r="V513" s="1998">
        <f>IF(Construction!$F$31=Construction!$R$22,Oeko!CI513,Oeko!EV513)</f>
        <v>0</v>
      </c>
      <c r="W513" s="1998">
        <f>IF(Construction!$F$31=Construction!$R$22,Oeko!CJ513,Oeko!EW513)</f>
        <v>0</v>
      </c>
      <c r="X513" s="1979">
        <f>IF(Construction!$F$31=Construction!$R$22,Oeko!CK513,Oeko!EX513)</f>
        <v>0</v>
      </c>
      <c r="Y513" s="1979">
        <f>IF(Construction!$F$31=Construction!$R$22,Oeko!CL513,Oeko!EY513)</f>
        <v>0</v>
      </c>
      <c r="Z513" s="1979">
        <f>IF(Construction!$F$31=Construction!$R$22,Oeko!CM513,Oeko!EZ513)</f>
        <v>0</v>
      </c>
      <c r="AA513" s="1979">
        <f>IF(Construction!$F$31=Construction!$R$22,Oeko!CN513,Oeko!FA513)</f>
        <v>0</v>
      </c>
      <c r="AB513" s="1979">
        <f>IF(Construction!$F$31=Construction!$R$22,Oeko!CO513,Oeko!FB513)</f>
        <v>0</v>
      </c>
      <c r="AC513" s="1998">
        <f>IF(Construction!$F$31=Construction!$R$22,Oeko!CP513,Oeko!FC513)</f>
        <v>0</v>
      </c>
      <c r="AD513" s="1998">
        <f>IF(Construction!$F$31=Construction!$R$22,Oeko!CQ513,Oeko!FD513)</f>
        <v>0</v>
      </c>
      <c r="AE513" s="1998">
        <f>IF(Construction!$F$31=Construction!$R$22,Oeko!CR513,Oeko!FE513)</f>
        <v>0</v>
      </c>
      <c r="AF513" s="1998">
        <f>IF(Construction!$F$31=Construction!$R$22,Oeko!CS513,Oeko!FF513)</f>
        <v>0</v>
      </c>
      <c r="AG513" s="1998">
        <f>IF(Construction!$F$31=Construction!$R$22,Oeko!CT513,Oeko!FG513)</f>
        <v>0</v>
      </c>
      <c r="AH513" s="1979">
        <f>IF(Construction!$F$31=Construction!$R$22,Oeko!CU513,Oeko!FH513)</f>
        <v>0.13546818223277238</v>
      </c>
      <c r="AI513" s="1979">
        <f>IF(Construction!$F$31=Construction!$R$22,Oeko!CV513,Oeko!FI513)</f>
        <v>0.13616503606106145</v>
      </c>
      <c r="AJ513" s="1979">
        <f>IF(Construction!$F$31=Construction!$R$22,Oeko!CW513,Oeko!FJ513)</f>
        <v>0.13697298252864293</v>
      </c>
      <c r="AK513" s="1979">
        <f>IF(Construction!$F$31=Construction!$R$22,Oeko!CX513,Oeko!FK513)</f>
        <v>0.13790212096636167</v>
      </c>
      <c r="AL513" s="1979">
        <f>IF(Construction!$F$31=Construction!$R$22,Oeko!CY513,Oeko!FL513)</f>
        <v>0.13904334535182047</v>
      </c>
      <c r="AM513" s="1998">
        <f>IF(Construction!$F$31=Construction!$R$22,Oeko!CZ513,Oeko!FM513)</f>
        <v>0</v>
      </c>
      <c r="AN513" s="1998">
        <f>IF(Construction!$F$31=Construction!$R$22,Oeko!DA513,Oeko!FN513)</f>
        <v>0</v>
      </c>
      <c r="AO513" s="1998">
        <f>IF(Construction!$F$31=Construction!$R$22,Oeko!DB513,Oeko!FO513)</f>
        <v>0</v>
      </c>
      <c r="AP513" s="1998">
        <f>IF(Construction!$F$31=Construction!$R$22,Oeko!DC513,Oeko!FP513)</f>
        <v>0</v>
      </c>
      <c r="AQ513" s="1998">
        <f>IF(Construction!$F$31=Construction!$R$22,Oeko!DD513,Oeko!FQ513)</f>
        <v>0</v>
      </c>
      <c r="AR513" s="1979">
        <f>IF(Construction!$F$31=Construction!$R$22,Oeko!DE513,Oeko!FR513)</f>
        <v>1.1367051202722438</v>
      </c>
      <c r="AS513" s="1979">
        <f>IF(Construction!$F$31=Construction!$R$22,Oeko!DF513,Oeko!FS513)</f>
        <v>1.1423139990134878</v>
      </c>
      <c r="AT513" s="1979">
        <f>IF(Construction!$F$31=Construction!$R$22,Oeko!DG513,Oeko!FT513)</f>
        <v>1.1488170468294225</v>
      </c>
      <c r="AU513" s="1979">
        <f>IF(Construction!$F$31=Construction!$R$22,Oeko!DH513,Oeko!FU513)</f>
        <v>1.1562955518177482</v>
      </c>
      <c r="AV513" s="1979">
        <f>IF(Construction!$F$31=Construction!$R$22,Oeko!DI513,Oeko!FV513)</f>
        <v>1.1654811068577566</v>
      </c>
      <c r="AW513" s="1998">
        <f>IF(Construction!$F$31=Construction!$R$22,Oeko!DJ513,Oeko!FW513)</f>
        <v>1.146014280295004</v>
      </c>
      <c r="AX513" s="1998">
        <f>IF(Construction!$F$31=Construction!$R$22,Oeko!DK513,Oeko!FX513)</f>
        <v>1.1516120417096507</v>
      </c>
      <c r="AY513" s="1998">
        <f>IF(Construction!$F$31=Construction!$R$22,Oeko!DL513,Oeko!FY513)</f>
        <v>1.1581021998715597</v>
      </c>
      <c r="AZ513" s="1998">
        <f>IF(Construction!$F$31=Construction!$R$22,Oeko!DM513,Oeko!FZ513)</f>
        <v>1.1655658817577557</v>
      </c>
      <c r="BA513" s="1998">
        <f>IF(Construction!$F$31=Construction!$R$22,Oeko!DN513,Oeko!GA513)</f>
        <v>1.1747332301614526</v>
      </c>
      <c r="BB513" s="1979">
        <f>IF(Construction!$F$31=Construction!$R$22,Oeko!DO513,Oeko!GB513)</f>
        <v>0.9971013691778603</v>
      </c>
      <c r="BC513" s="1979">
        <f>IF(Construction!$F$31=Construction!$R$22,Oeko!DP513,Oeko!GC513)</f>
        <v>0.99821949132785659</v>
      </c>
      <c r="BD513" s="1979">
        <f>IF(Construction!$F$31=Construction!$R$22,Oeko!DQ513,Oeko!GD513)</f>
        <v>0.99951572143094947</v>
      </c>
      <c r="BE513" s="1979">
        <f>IF(Construction!$F$31=Construction!$R$22,Oeko!DR513,Oeko!GE513)</f>
        <v>1.0010296390322719</v>
      </c>
      <c r="BF513" s="1979">
        <f>IF(Construction!$F$31=Construction!$R$22,Oeko!DS513,Oeko!GF513)</f>
        <v>1.0029096674260711</v>
      </c>
      <c r="BG513" s="1998">
        <f>IF(Construction!$F$31=Construction!$R$22,Oeko!DT513,Oeko!GG513)</f>
        <v>0.99759453836687695</v>
      </c>
      <c r="BH513" s="1998">
        <f>IF(Construction!$F$31=Construction!$R$22,Oeko!DU513,Oeko!GH513)</f>
        <v>0.99870854313959367</v>
      </c>
      <c r="BI513" s="1998">
        <f>IF(Construction!$F$31=Construction!$R$22,Oeko!DV513,Oeko!GI513)</f>
        <v>1</v>
      </c>
      <c r="BJ513" s="1998">
        <f>IF(Construction!$F$31=Construction!$R$22,Oeko!DW513,Oeko!GJ513)</f>
        <v>1.0015083427453599</v>
      </c>
      <c r="BK513" s="2026">
        <f>IF(Construction!$F$31=Construction!$R$22,Oeko!DX513,Oeko!GK513)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Proportion de fenêtres </v>
      </c>
      <c r="D514" s="1979">
        <f>IF(Construction!$F$31=Construction!$R$22,Oeko!BQ514,Oeko!ED514)</f>
        <v>0</v>
      </c>
      <c r="E514" s="1979">
        <f>IF(Construction!$F$31=Construction!$R$22,Oeko!BR514,Oeko!EE514)</f>
        <v>0</v>
      </c>
      <c r="F514" s="1979">
        <f>IF(Construction!$F$31=Construction!$R$22,Oeko!BS514,Oeko!EF514)</f>
        <v>0</v>
      </c>
      <c r="G514" s="1979">
        <f>IF(Construction!$F$31=Construction!$R$22,Oeko!BT514,Oeko!EG514)</f>
        <v>0</v>
      </c>
      <c r="H514" s="1979">
        <f>IF(Construction!$F$31=Construction!$R$22,Oeko!BU514,Oeko!EH514)</f>
        <v>0</v>
      </c>
      <c r="I514" s="1998">
        <f>IF(Construction!$F$31=Construction!$R$22,Oeko!BV514,Oeko!EI514)</f>
        <v>0</v>
      </c>
      <c r="J514" s="1998">
        <f>IF(Construction!$F$31=Construction!$R$22,Oeko!BW514,Oeko!EJ514)</f>
        <v>0</v>
      </c>
      <c r="K514" s="1998">
        <f>IF(Construction!$F$31=Construction!$R$22,Oeko!BX514,Oeko!EK514)</f>
        <v>0</v>
      </c>
      <c r="L514" s="1998">
        <f>IF(Construction!$F$31=Construction!$R$22,Oeko!BY514,Oeko!EL514)</f>
        <v>0</v>
      </c>
      <c r="M514" s="1998">
        <f>IF(Construction!$F$31=Construction!$R$22,Oeko!BZ514,Oeko!EM514)</f>
        <v>0</v>
      </c>
      <c r="N514" s="1979">
        <f>IF(Construction!$F$31=Construction!$R$22,Oeko!CA514,Oeko!EN514)</f>
        <v>0</v>
      </c>
      <c r="O514" s="1979">
        <f>IF(Construction!$F$31=Construction!$R$22,Oeko!CB514,Oeko!EO514)</f>
        <v>0</v>
      </c>
      <c r="P514" s="1979">
        <f>IF(Construction!$F$31=Construction!$R$22,Oeko!CC514,Oeko!EP514)</f>
        <v>0</v>
      </c>
      <c r="Q514" s="1979">
        <f>IF(Construction!$F$31=Construction!$R$22,Oeko!CD514,Oeko!EQ514)</f>
        <v>0</v>
      </c>
      <c r="R514" s="1979">
        <f>IF(Construction!$F$31=Construction!$R$22,Oeko!CE514,Oeko!ER514)</f>
        <v>0</v>
      </c>
      <c r="S514" s="1998">
        <f>IF(Construction!$F$31=Construction!$R$22,Oeko!CF514,Oeko!ES514)</f>
        <v>0</v>
      </c>
      <c r="T514" s="1998">
        <f>IF(Construction!$F$31=Construction!$R$22,Oeko!CG514,Oeko!ET514)</f>
        <v>0</v>
      </c>
      <c r="U514" s="1998">
        <f>IF(Construction!$F$31=Construction!$R$22,Oeko!CH514,Oeko!EU514)</f>
        <v>0</v>
      </c>
      <c r="V514" s="1998">
        <f>IF(Construction!$F$31=Construction!$R$22,Oeko!CI514,Oeko!EV514)</f>
        <v>0</v>
      </c>
      <c r="W514" s="1998">
        <f>IF(Construction!$F$31=Construction!$R$22,Oeko!CJ514,Oeko!EW514)</f>
        <v>0</v>
      </c>
      <c r="X514" s="1979">
        <f>IF(Construction!$F$31=Construction!$R$22,Oeko!CK514,Oeko!EX514)</f>
        <v>0</v>
      </c>
      <c r="Y514" s="1979">
        <f>IF(Construction!$F$31=Construction!$R$22,Oeko!CL514,Oeko!EY514)</f>
        <v>0</v>
      </c>
      <c r="Z514" s="1979">
        <f>IF(Construction!$F$31=Construction!$R$22,Oeko!CM514,Oeko!EZ514)</f>
        <v>0</v>
      </c>
      <c r="AA514" s="1979">
        <f>IF(Construction!$F$31=Construction!$R$22,Oeko!CN514,Oeko!FA514)</f>
        <v>0</v>
      </c>
      <c r="AB514" s="1979">
        <f>IF(Construction!$F$31=Construction!$R$22,Oeko!CO514,Oeko!FB514)</f>
        <v>0</v>
      </c>
      <c r="AC514" s="1998">
        <f>IF(Construction!$F$31=Construction!$R$22,Oeko!CP514,Oeko!FC514)</f>
        <v>0</v>
      </c>
      <c r="AD514" s="1998">
        <f>IF(Construction!$F$31=Construction!$R$22,Oeko!CQ514,Oeko!FD514)</f>
        <v>0</v>
      </c>
      <c r="AE514" s="1998">
        <f>IF(Construction!$F$31=Construction!$R$22,Oeko!CR514,Oeko!FE514)</f>
        <v>0</v>
      </c>
      <c r="AF514" s="1998">
        <f>IF(Construction!$F$31=Construction!$R$22,Oeko!CS514,Oeko!FF514)</f>
        <v>0</v>
      </c>
      <c r="AG514" s="1998">
        <f>IF(Construction!$F$31=Construction!$R$22,Oeko!CT514,Oeko!FG514)</f>
        <v>0</v>
      </c>
      <c r="AH514" s="1979">
        <f>IF(Construction!$F$31=Construction!$R$22,Oeko!CU514,Oeko!FH514)</f>
        <v>0.13758315524305284</v>
      </c>
      <c r="AI514" s="1979">
        <f>IF(Construction!$F$31=Construction!$R$22,Oeko!CV514,Oeko!FI514)</f>
        <v>0.13828000907134189</v>
      </c>
      <c r="AJ514" s="1979">
        <f>IF(Construction!$F$31=Construction!$R$22,Oeko!CW514,Oeko!FJ514)</f>
        <v>0.13908795553892336</v>
      </c>
      <c r="AK514" s="1979">
        <f>IF(Construction!$F$31=Construction!$R$22,Oeko!CX514,Oeko!FK514)</f>
        <v>0.14001709397664211</v>
      </c>
      <c r="AL514" s="1979">
        <f>IF(Construction!$F$31=Construction!$R$22,Oeko!CY514,Oeko!FL514)</f>
        <v>0.14115831836210097</v>
      </c>
      <c r="AM514" s="1998">
        <f>IF(Construction!$F$31=Construction!$R$22,Oeko!CZ514,Oeko!FM514)</f>
        <v>0</v>
      </c>
      <c r="AN514" s="1998">
        <f>IF(Construction!$F$31=Construction!$R$22,Oeko!DA514,Oeko!FN514)</f>
        <v>0</v>
      </c>
      <c r="AO514" s="1998">
        <f>IF(Construction!$F$31=Construction!$R$22,Oeko!DB514,Oeko!FO514)</f>
        <v>0</v>
      </c>
      <c r="AP514" s="1998">
        <f>IF(Construction!$F$31=Construction!$R$22,Oeko!DC514,Oeko!FP514)</f>
        <v>0</v>
      </c>
      <c r="AQ514" s="1998">
        <f>IF(Construction!$F$31=Construction!$R$22,Oeko!DD514,Oeko!FQ514)</f>
        <v>0</v>
      </c>
      <c r="AR514" s="1979">
        <f>IF(Construction!$F$31=Construction!$R$22,Oeko!DE514,Oeko!FR514)</f>
        <v>1.0208533234313593</v>
      </c>
      <c r="AS514" s="1979">
        <f>IF(Construction!$F$31=Construction!$R$22,Oeko!DF514,Oeko!FS514)</f>
        <v>1.0264622021726031</v>
      </c>
      <c r="AT514" s="1979">
        <f>IF(Construction!$F$31=Construction!$R$22,Oeko!DG514,Oeko!FT514)</f>
        <v>1.0329652499885382</v>
      </c>
      <c r="AU514" s="1979">
        <f>IF(Construction!$F$31=Construction!$R$22,Oeko!DH514,Oeko!FU514)</f>
        <v>1.0404437549768639</v>
      </c>
      <c r="AV514" s="1979">
        <f>IF(Construction!$F$31=Construction!$R$22,Oeko!DI514,Oeko!FV514)</f>
        <v>1.0496293100168721</v>
      </c>
      <c r="AW514" s="1998">
        <f>IF(Construction!$F$31=Construction!$R$22,Oeko!DJ514,Oeko!FW514)</f>
        <v>1.0216614591646436</v>
      </c>
      <c r="AX514" s="1998">
        <f>IF(Construction!$F$31=Construction!$R$22,Oeko!DK514,Oeko!FX514)</f>
        <v>1.0272592205792901</v>
      </c>
      <c r="AY514" s="1998">
        <f>IF(Construction!$F$31=Construction!$R$22,Oeko!DL514,Oeko!FY514)</f>
        <v>1.0337493787411995</v>
      </c>
      <c r="AZ514" s="1998">
        <f>IF(Construction!$F$31=Construction!$R$22,Oeko!DM514,Oeko!FZ514)</f>
        <v>1.0412130606273953</v>
      </c>
      <c r="BA514" s="1998">
        <f>IF(Construction!$F$31=Construction!$R$22,Oeko!DN514,Oeko!GA514)</f>
        <v>1.0503804090310922</v>
      </c>
      <c r="BB514" s="1979">
        <f>IF(Construction!$F$31=Construction!$R$22,Oeko!DO514,Oeko!GB514)</f>
        <v>1.0015954742986486</v>
      </c>
      <c r="BC514" s="1979">
        <f>IF(Construction!$F$31=Construction!$R$22,Oeko!DP514,Oeko!GC514)</f>
        <v>1.0027135964486447</v>
      </c>
      <c r="BD514" s="1979">
        <f>IF(Construction!$F$31=Construction!$R$22,Oeko!DQ514,Oeko!GD514)</f>
        <v>1.0040098265517376</v>
      </c>
      <c r="BE514" s="1979">
        <f>IF(Construction!$F$31=Construction!$R$22,Oeko!DR514,Oeko!GE514)</f>
        <v>1.00552374415306</v>
      </c>
      <c r="BF514" s="1979">
        <f>IF(Construction!$F$31=Construction!$R$22,Oeko!DS514,Oeko!GF514)</f>
        <v>1.007403772546859</v>
      </c>
      <c r="BG514" s="1998">
        <f>IF(Construction!$F$31=Construction!$R$22,Oeko!DT514,Oeko!GG514)</f>
        <v>1.0052720029407589</v>
      </c>
      <c r="BH514" s="1998">
        <f>IF(Construction!$F$31=Construction!$R$22,Oeko!DU514,Oeko!GH514)</f>
        <v>1.0063860077134756</v>
      </c>
      <c r="BI514" s="1998">
        <f>IF(Construction!$F$31=Construction!$R$22,Oeko!DV514,Oeko!GI514)</f>
        <v>1.007677464573882</v>
      </c>
      <c r="BJ514" s="1998">
        <f>IF(Construction!$F$31=Construction!$R$22,Oeko!DW514,Oeko!GJ514)</f>
        <v>1.0091858073192419</v>
      </c>
      <c r="BK514" s="2026">
        <f>IF(Construction!$F$31=Construction!$R$22,Oeko!DX514,Oeko!GK514)</f>
        <v>1.0110589126892966</v>
      </c>
      <c r="BN514" s="2022"/>
      <c r="BO514" s="2">
        <v>13</v>
      </c>
      <c r="BP514" s="2" t="str">
        <f>CONCATENATE($U$8," ",GV$7)</f>
        <v xml:space="preserve">Proportion de fenêtres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Proportion de fenêtres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Proportion de fenêtres </v>
      </c>
      <c r="D515" s="1979">
        <f>IF(Construction!$F$31=Construction!$R$22,Oeko!BQ515,Oeko!ED515)</f>
        <v>0</v>
      </c>
      <c r="E515" s="1979">
        <f>IF(Construction!$F$31=Construction!$R$22,Oeko!BR515,Oeko!EE515)</f>
        <v>0</v>
      </c>
      <c r="F515" s="1979">
        <f>IF(Construction!$F$31=Construction!$R$22,Oeko!BS515,Oeko!EF515)</f>
        <v>0</v>
      </c>
      <c r="G515" s="1979">
        <f>IF(Construction!$F$31=Construction!$R$22,Oeko!BT515,Oeko!EG515)</f>
        <v>0</v>
      </c>
      <c r="H515" s="1979">
        <f>IF(Construction!$F$31=Construction!$R$22,Oeko!BU515,Oeko!EH515)</f>
        <v>0</v>
      </c>
      <c r="I515" s="1998">
        <f>IF(Construction!$F$31=Construction!$R$22,Oeko!BV515,Oeko!EI515)</f>
        <v>0</v>
      </c>
      <c r="J515" s="1998">
        <f>IF(Construction!$F$31=Construction!$R$22,Oeko!BW515,Oeko!EJ515)</f>
        <v>0</v>
      </c>
      <c r="K515" s="1998">
        <f>IF(Construction!$F$31=Construction!$R$22,Oeko!BX515,Oeko!EK515)</f>
        <v>0</v>
      </c>
      <c r="L515" s="1998">
        <f>IF(Construction!$F$31=Construction!$R$22,Oeko!BY515,Oeko!EL515)</f>
        <v>0</v>
      </c>
      <c r="M515" s="1998">
        <f>IF(Construction!$F$31=Construction!$R$22,Oeko!BZ515,Oeko!EM515)</f>
        <v>0</v>
      </c>
      <c r="N515" s="1979">
        <f>IF(Construction!$F$31=Construction!$R$22,Oeko!CA515,Oeko!EN515)</f>
        <v>0</v>
      </c>
      <c r="O515" s="1979">
        <f>IF(Construction!$F$31=Construction!$R$22,Oeko!CB515,Oeko!EO515)</f>
        <v>0</v>
      </c>
      <c r="P515" s="1979">
        <f>IF(Construction!$F$31=Construction!$R$22,Oeko!CC515,Oeko!EP515)</f>
        <v>0</v>
      </c>
      <c r="Q515" s="1979">
        <f>IF(Construction!$F$31=Construction!$R$22,Oeko!CD515,Oeko!EQ515)</f>
        <v>0</v>
      </c>
      <c r="R515" s="1979">
        <f>IF(Construction!$F$31=Construction!$R$22,Oeko!CE515,Oeko!ER515)</f>
        <v>0</v>
      </c>
      <c r="S515" s="1998">
        <f>IF(Construction!$F$31=Construction!$R$22,Oeko!CF515,Oeko!ES515)</f>
        <v>0</v>
      </c>
      <c r="T515" s="1998">
        <f>IF(Construction!$F$31=Construction!$R$22,Oeko!CG515,Oeko!ET515)</f>
        <v>0</v>
      </c>
      <c r="U515" s="1998">
        <f>IF(Construction!$F$31=Construction!$R$22,Oeko!CH515,Oeko!EU515)</f>
        <v>0</v>
      </c>
      <c r="V515" s="1998">
        <f>IF(Construction!$F$31=Construction!$R$22,Oeko!CI515,Oeko!EV515)</f>
        <v>0</v>
      </c>
      <c r="W515" s="1998">
        <f>IF(Construction!$F$31=Construction!$R$22,Oeko!CJ515,Oeko!EW515)</f>
        <v>0</v>
      </c>
      <c r="X515" s="1979">
        <f>IF(Construction!$F$31=Construction!$R$22,Oeko!CK515,Oeko!EX515)</f>
        <v>0</v>
      </c>
      <c r="Y515" s="1979">
        <f>IF(Construction!$F$31=Construction!$R$22,Oeko!CL515,Oeko!EY515)</f>
        <v>0</v>
      </c>
      <c r="Z515" s="1979">
        <f>IF(Construction!$F$31=Construction!$R$22,Oeko!CM515,Oeko!EZ515)</f>
        <v>0</v>
      </c>
      <c r="AA515" s="1979">
        <f>IF(Construction!$F$31=Construction!$R$22,Oeko!CN515,Oeko!FA515)</f>
        <v>0</v>
      </c>
      <c r="AB515" s="1979">
        <f>IF(Construction!$F$31=Construction!$R$22,Oeko!CO515,Oeko!FB515)</f>
        <v>0</v>
      </c>
      <c r="AC515" s="1998">
        <f>IF(Construction!$F$31=Construction!$R$22,Oeko!CP515,Oeko!FC515)</f>
        <v>0</v>
      </c>
      <c r="AD515" s="1998">
        <f>IF(Construction!$F$31=Construction!$R$22,Oeko!CQ515,Oeko!FD515)</f>
        <v>0</v>
      </c>
      <c r="AE515" s="1998">
        <f>IF(Construction!$F$31=Construction!$R$22,Oeko!CR515,Oeko!FE515)</f>
        <v>0</v>
      </c>
      <c r="AF515" s="1998">
        <f>IF(Construction!$F$31=Construction!$R$22,Oeko!CS515,Oeko!FF515)</f>
        <v>0</v>
      </c>
      <c r="AG515" s="1998">
        <f>IF(Construction!$F$31=Construction!$R$22,Oeko!CT515,Oeko!FG515)</f>
        <v>0</v>
      </c>
      <c r="AH515" s="1979">
        <f>IF(Construction!$F$31=Construction!$R$22,Oeko!CU515,Oeko!FH515)</f>
        <v>0.13564442998362908</v>
      </c>
      <c r="AI515" s="1979">
        <f>IF(Construction!$F$31=Construction!$R$22,Oeko!CV515,Oeko!FI515)</f>
        <v>0.13634128381191812</v>
      </c>
      <c r="AJ515" s="1979">
        <f>IF(Construction!$F$31=Construction!$R$22,Oeko!CW515,Oeko!FJ515)</f>
        <v>0.13714923027949963</v>
      </c>
      <c r="AK515" s="1979">
        <f>IF(Construction!$F$31=Construction!$R$22,Oeko!CX515,Oeko!FK515)</f>
        <v>0.13807836871721832</v>
      </c>
      <c r="AL515" s="1979">
        <f>IF(Construction!$F$31=Construction!$R$22,Oeko!CY515,Oeko!FL515)</f>
        <v>0.1392195931026772</v>
      </c>
      <c r="AM515" s="1998">
        <f>IF(Construction!$F$31=Construction!$R$22,Oeko!CZ515,Oeko!FM515)</f>
        <v>0</v>
      </c>
      <c r="AN515" s="1998">
        <f>IF(Construction!$F$31=Construction!$R$22,Oeko!DA515,Oeko!FN515)</f>
        <v>0</v>
      </c>
      <c r="AO515" s="1998">
        <f>IF(Construction!$F$31=Construction!$R$22,Oeko!DB515,Oeko!FO515)</f>
        <v>0</v>
      </c>
      <c r="AP515" s="1998">
        <f>IF(Construction!$F$31=Construction!$R$22,Oeko!DC515,Oeko!FP515)</f>
        <v>0</v>
      </c>
      <c r="AQ515" s="1998">
        <f>IF(Construction!$F$31=Construction!$R$22,Oeko!DD515,Oeko!FQ515)</f>
        <v>0</v>
      </c>
      <c r="AR515" s="1979">
        <f>IF(Construction!$F$31=Construction!$R$22,Oeko!DE515,Oeko!FR515)</f>
        <v>1.0139022156209063</v>
      </c>
      <c r="AS515" s="1979">
        <f>IF(Construction!$F$31=Construction!$R$22,Oeko!DF515,Oeko!FS515)</f>
        <v>1.0195110943621501</v>
      </c>
      <c r="AT515" s="1979">
        <f>IF(Construction!$F$31=Construction!$R$22,Oeko!DG515,Oeko!FT515)</f>
        <v>1.0260141421780853</v>
      </c>
      <c r="AU515" s="1979">
        <f>IF(Construction!$F$31=Construction!$R$22,Oeko!DH515,Oeko!FU515)</f>
        <v>1.0334926471664108</v>
      </c>
      <c r="AV515" s="1979">
        <f>IF(Construction!$F$31=Construction!$R$22,Oeko!DI515,Oeko!FV515)</f>
        <v>1.0426782022064192</v>
      </c>
      <c r="AW515" s="1998">
        <f>IF(Construction!$F$31=Construction!$R$22,Oeko!DJ515,Oeko!FW515)</f>
        <v>1.014440972776429</v>
      </c>
      <c r="AX515" s="1998">
        <f>IF(Construction!$F$31=Construction!$R$22,Oeko!DK515,Oeko!FX515)</f>
        <v>1.0200387341910759</v>
      </c>
      <c r="AY515" s="1998">
        <f>IF(Construction!$F$31=Construction!$R$22,Oeko!DL515,Oeko!FY515)</f>
        <v>1.0265288923529852</v>
      </c>
      <c r="AZ515" s="1998">
        <f>IF(Construction!$F$31=Construction!$R$22,Oeko!DM515,Oeko!FZ515)</f>
        <v>1.0339925742391809</v>
      </c>
      <c r="BA515" s="1998">
        <f>IF(Construction!$F$31=Construction!$R$22,Oeko!DN515,Oeko!GA515)</f>
        <v>1.0431599226428778</v>
      </c>
      <c r="BB515" s="1979">
        <f>IF(Construction!$F$31=Construction!$R$22,Oeko!DO515,Oeko!GB515)</f>
        <v>1.0007935089883011</v>
      </c>
      <c r="BC515" s="1979">
        <f>IF(Construction!$F$31=Construction!$R$22,Oeko!DP515,Oeko!GC515)</f>
        <v>1.0019116311382972</v>
      </c>
      <c r="BD515" s="1979">
        <f>IF(Construction!$F$31=Construction!$R$22,Oeko!DQ515,Oeko!GD515)</f>
        <v>1.0032078612413902</v>
      </c>
      <c r="BE515" s="1979">
        <f>IF(Construction!$F$31=Construction!$R$22,Oeko!DR515,Oeko!GE515)</f>
        <v>1.0047217788427125</v>
      </c>
      <c r="BF515" s="1979">
        <f>IF(Construction!$F$31=Construction!$R$22,Oeko!DS515,Oeko!GF515)</f>
        <v>1.0066018072365115</v>
      </c>
      <c r="BG515" s="1998">
        <f>IF(Construction!$F$31=Construction!$R$22,Oeko!DT515,Oeko!GG515)</f>
        <v>1.0037365100259827</v>
      </c>
      <c r="BH515" s="1998">
        <f>IF(Construction!$F$31=Construction!$R$22,Oeko!DU515,Oeko!GH515)</f>
        <v>1.0048505147986992</v>
      </c>
      <c r="BI515" s="1998">
        <f>IF(Construction!$F$31=Construction!$R$22,Oeko!DV515,Oeko!GI515)</f>
        <v>1.0061419716591056</v>
      </c>
      <c r="BJ515" s="1998">
        <f>IF(Construction!$F$31=Construction!$R$22,Oeko!DW515,Oeko!GJ515)</f>
        <v>1.0076503144044655</v>
      </c>
      <c r="BK515" s="2026">
        <f>IF(Construction!$F$31=Construction!$R$22,Oeko!DX515,Oeko!GK515)</f>
        <v>1.0095234197745202</v>
      </c>
      <c r="BN515" s="2022"/>
      <c r="BO515" s="2">
        <v>14</v>
      </c>
      <c r="BP515" s="2" t="str">
        <f>CONCATENATE($U$8," ",GV$8)</f>
        <v xml:space="preserve">Proportion de fenêtres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Proportion de fenêtres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Proportion de fenêtres </v>
      </c>
      <c r="D516" s="1979">
        <f>IF(Construction!$F$31=Construction!$R$22,Oeko!BQ516,Oeko!ED516)</f>
        <v>0</v>
      </c>
      <c r="E516" s="1979">
        <f>IF(Construction!$F$31=Construction!$R$22,Oeko!BR516,Oeko!EE516)</f>
        <v>0</v>
      </c>
      <c r="F516" s="1979">
        <f>IF(Construction!$F$31=Construction!$R$22,Oeko!BS516,Oeko!EF516)</f>
        <v>0</v>
      </c>
      <c r="G516" s="1979">
        <f>IF(Construction!$F$31=Construction!$R$22,Oeko!BT516,Oeko!EG516)</f>
        <v>0</v>
      </c>
      <c r="H516" s="1979">
        <f>IF(Construction!$F$31=Construction!$R$22,Oeko!BU516,Oeko!EH516)</f>
        <v>0</v>
      </c>
      <c r="I516" s="1998">
        <f>IF(Construction!$F$31=Construction!$R$22,Oeko!BV516,Oeko!EI516)</f>
        <v>0</v>
      </c>
      <c r="J516" s="1998">
        <f>IF(Construction!$F$31=Construction!$R$22,Oeko!BW516,Oeko!EJ516)</f>
        <v>0</v>
      </c>
      <c r="K516" s="1998">
        <f>IF(Construction!$F$31=Construction!$R$22,Oeko!BX516,Oeko!EK516)</f>
        <v>0</v>
      </c>
      <c r="L516" s="1998">
        <f>IF(Construction!$F$31=Construction!$R$22,Oeko!BY516,Oeko!EL516)</f>
        <v>0</v>
      </c>
      <c r="M516" s="1998">
        <f>IF(Construction!$F$31=Construction!$R$22,Oeko!BZ516,Oeko!EM516)</f>
        <v>0</v>
      </c>
      <c r="N516" s="1979">
        <f>IF(Construction!$F$31=Construction!$R$22,Oeko!CA516,Oeko!EN516)</f>
        <v>0</v>
      </c>
      <c r="O516" s="1979">
        <f>IF(Construction!$F$31=Construction!$R$22,Oeko!CB516,Oeko!EO516)</f>
        <v>0</v>
      </c>
      <c r="P516" s="1979">
        <f>IF(Construction!$F$31=Construction!$R$22,Oeko!CC516,Oeko!EP516)</f>
        <v>0</v>
      </c>
      <c r="Q516" s="1979">
        <f>IF(Construction!$F$31=Construction!$R$22,Oeko!CD516,Oeko!EQ516)</f>
        <v>0</v>
      </c>
      <c r="R516" s="1979">
        <f>IF(Construction!$F$31=Construction!$R$22,Oeko!CE516,Oeko!ER516)</f>
        <v>0</v>
      </c>
      <c r="S516" s="1998">
        <f>IF(Construction!$F$31=Construction!$R$22,Oeko!CF516,Oeko!ES516)</f>
        <v>0</v>
      </c>
      <c r="T516" s="1998">
        <f>IF(Construction!$F$31=Construction!$R$22,Oeko!CG516,Oeko!ET516)</f>
        <v>0</v>
      </c>
      <c r="U516" s="1998">
        <f>IF(Construction!$F$31=Construction!$R$22,Oeko!CH516,Oeko!EU516)</f>
        <v>0</v>
      </c>
      <c r="V516" s="1998">
        <f>IF(Construction!$F$31=Construction!$R$22,Oeko!CI516,Oeko!EV516)</f>
        <v>0</v>
      </c>
      <c r="W516" s="1998">
        <f>IF(Construction!$F$31=Construction!$R$22,Oeko!CJ516,Oeko!EW516)</f>
        <v>0</v>
      </c>
      <c r="X516" s="1979">
        <f>IF(Construction!$F$31=Construction!$R$22,Oeko!CK516,Oeko!EX516)</f>
        <v>0</v>
      </c>
      <c r="Y516" s="1979">
        <f>IF(Construction!$F$31=Construction!$R$22,Oeko!CL516,Oeko!EY516)</f>
        <v>0</v>
      </c>
      <c r="Z516" s="1979">
        <f>IF(Construction!$F$31=Construction!$R$22,Oeko!CM516,Oeko!EZ516)</f>
        <v>0</v>
      </c>
      <c r="AA516" s="1979">
        <f>IF(Construction!$F$31=Construction!$R$22,Oeko!CN516,Oeko!FA516)</f>
        <v>0</v>
      </c>
      <c r="AB516" s="1979">
        <f>IF(Construction!$F$31=Construction!$R$22,Oeko!CO516,Oeko!FB516)</f>
        <v>0</v>
      </c>
      <c r="AC516" s="1998">
        <f>IF(Construction!$F$31=Construction!$R$22,Oeko!CP516,Oeko!FC516)</f>
        <v>0</v>
      </c>
      <c r="AD516" s="1998">
        <f>IF(Construction!$F$31=Construction!$R$22,Oeko!CQ516,Oeko!FD516)</f>
        <v>0</v>
      </c>
      <c r="AE516" s="1998">
        <f>IF(Construction!$F$31=Construction!$R$22,Oeko!CR516,Oeko!FE516)</f>
        <v>0</v>
      </c>
      <c r="AF516" s="1998">
        <f>IF(Construction!$F$31=Construction!$R$22,Oeko!CS516,Oeko!FF516)</f>
        <v>0</v>
      </c>
      <c r="AG516" s="1998">
        <f>IF(Construction!$F$31=Construction!$R$22,Oeko!CT516,Oeko!FG516)</f>
        <v>0</v>
      </c>
      <c r="AH516" s="1979">
        <f>IF(Construction!$F$31=Construction!$R$22,Oeko!CU516,Oeko!FH516)</f>
        <v>0.13370570472420532</v>
      </c>
      <c r="AI516" s="1979">
        <f>IF(Construction!$F$31=Construction!$R$22,Oeko!CV516,Oeko!FI516)</f>
        <v>0.13440255855249436</v>
      </c>
      <c r="AJ516" s="1979">
        <f>IF(Construction!$F$31=Construction!$R$22,Oeko!CW516,Oeko!FJ516)</f>
        <v>0.13521050502007587</v>
      </c>
      <c r="AK516" s="1979">
        <f>IF(Construction!$F$31=Construction!$R$22,Oeko!CX516,Oeko!FK516)</f>
        <v>0.13613964345779458</v>
      </c>
      <c r="AL516" s="1979">
        <f>IF(Construction!$F$31=Construction!$R$22,Oeko!CY516,Oeko!FL516)</f>
        <v>0.13728086784325344</v>
      </c>
      <c r="AM516" s="1998">
        <f>IF(Construction!$F$31=Construction!$R$22,Oeko!CZ516,Oeko!FM516)</f>
        <v>0</v>
      </c>
      <c r="AN516" s="1998">
        <f>IF(Construction!$F$31=Construction!$R$22,Oeko!DA516,Oeko!FN516)</f>
        <v>0</v>
      </c>
      <c r="AO516" s="1998">
        <f>IF(Construction!$F$31=Construction!$R$22,Oeko!DB516,Oeko!FO516)</f>
        <v>0</v>
      </c>
      <c r="AP516" s="1998">
        <f>IF(Construction!$F$31=Construction!$R$22,Oeko!DC516,Oeko!FP516)</f>
        <v>0</v>
      </c>
      <c r="AQ516" s="1998">
        <f>IF(Construction!$F$31=Construction!$R$22,Oeko!DD516,Oeko!FQ516)</f>
        <v>0</v>
      </c>
      <c r="AR516" s="1979">
        <f>IF(Construction!$F$31=Construction!$R$22,Oeko!DE516,Oeko!FR516)</f>
        <v>1.0069511078104532</v>
      </c>
      <c r="AS516" s="1979">
        <f>IF(Construction!$F$31=Construction!$R$22,Oeko!DF516,Oeko!FS516)</f>
        <v>1.0125599865516972</v>
      </c>
      <c r="AT516" s="1979">
        <f>IF(Construction!$F$31=Construction!$R$22,Oeko!DG516,Oeko!FT516)</f>
        <v>1.0190630343676323</v>
      </c>
      <c r="AU516" s="1979">
        <f>IF(Construction!$F$31=Construction!$R$22,Oeko!DH516,Oeko!FU516)</f>
        <v>1.0265415393559576</v>
      </c>
      <c r="AV516" s="1979">
        <f>IF(Construction!$F$31=Construction!$R$22,Oeko!DI516,Oeko!FV516)</f>
        <v>1.035727094395966</v>
      </c>
      <c r="AW516" s="1998">
        <f>IF(Construction!$F$31=Construction!$R$22,Oeko!DJ516,Oeko!FW516)</f>
        <v>1.0072204863882146</v>
      </c>
      <c r="AX516" s="1998">
        <f>IF(Construction!$F$31=Construction!$R$22,Oeko!DK516,Oeko!FX516)</f>
        <v>1.0128182478028613</v>
      </c>
      <c r="AY516" s="1998">
        <f>IF(Construction!$F$31=Construction!$R$22,Oeko!DL516,Oeko!FY516)</f>
        <v>1.0193084059647708</v>
      </c>
      <c r="AZ516" s="1998">
        <f>IF(Construction!$F$31=Construction!$R$22,Oeko!DM516,Oeko!FZ516)</f>
        <v>1.0267720878509663</v>
      </c>
      <c r="BA516" s="1998">
        <f>IF(Construction!$F$31=Construction!$R$22,Oeko!DN516,Oeko!GA516)</f>
        <v>1.0359394362546634</v>
      </c>
      <c r="BB516" s="1979">
        <f>IF(Construction!$F$31=Construction!$R$22,Oeko!DO516,Oeko!GB516)</f>
        <v>0.99999154367795351</v>
      </c>
      <c r="BC516" s="1979">
        <f>IF(Construction!$F$31=Construction!$R$22,Oeko!DP516,Oeko!GC516)</f>
        <v>1.0011096658279495</v>
      </c>
      <c r="BD516" s="1979">
        <f>IF(Construction!$F$31=Construction!$R$22,Oeko!DQ516,Oeko!GD516)</f>
        <v>1.0024058959310427</v>
      </c>
      <c r="BE516" s="1979">
        <f>IF(Construction!$F$31=Construction!$R$22,Oeko!DR516,Oeko!GE516)</f>
        <v>1.003919813532365</v>
      </c>
      <c r="BF516" s="1979">
        <f>IF(Construction!$F$31=Construction!$R$22,Oeko!DS516,Oeko!GF516)</f>
        <v>1.005799841926164</v>
      </c>
      <c r="BG516" s="1998">
        <f>IF(Construction!$F$31=Construction!$R$22,Oeko!DT516,Oeko!GG516)</f>
        <v>1.0022010171112061</v>
      </c>
      <c r="BH516" s="1998">
        <f>IF(Construction!$F$31=Construction!$R$22,Oeko!DU516,Oeko!GH516)</f>
        <v>1.0033150218839231</v>
      </c>
      <c r="BI516" s="1998">
        <f>IF(Construction!$F$31=Construction!$R$22,Oeko!DV516,Oeko!GI516)</f>
        <v>1.0046064787443292</v>
      </c>
      <c r="BJ516" s="1998">
        <f>IF(Construction!$F$31=Construction!$R$22,Oeko!DW516,Oeko!GJ516)</f>
        <v>1.0061148214896891</v>
      </c>
      <c r="BK516" s="2026">
        <f>IF(Construction!$F$31=Construction!$R$22,Oeko!DX516,Oeko!GK516)</f>
        <v>1.0079879268597438</v>
      </c>
      <c r="BN516" s="2022"/>
      <c r="BO516" s="2">
        <v>15</v>
      </c>
      <c r="BP516" s="2" t="str">
        <f>CONCATENATE($U$8," ",GV$9)</f>
        <v xml:space="preserve">Proportion de fenêtres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Proportion de fenêtres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Proportion de fenêtres </v>
      </c>
      <c r="D517" s="1979">
        <f>IF(Construction!$F$31=Construction!$R$22,Oeko!BQ517,Oeko!ED517)</f>
        <v>0</v>
      </c>
      <c r="E517" s="1979">
        <f>IF(Construction!$F$31=Construction!$R$22,Oeko!BR517,Oeko!EE517)</f>
        <v>0</v>
      </c>
      <c r="F517" s="1979">
        <f>IF(Construction!$F$31=Construction!$R$22,Oeko!BS517,Oeko!EF517)</f>
        <v>0</v>
      </c>
      <c r="G517" s="1979">
        <f>IF(Construction!$F$31=Construction!$R$22,Oeko!BT517,Oeko!EG517)</f>
        <v>0</v>
      </c>
      <c r="H517" s="1979">
        <f>IF(Construction!$F$31=Construction!$R$22,Oeko!BU517,Oeko!EH517)</f>
        <v>0</v>
      </c>
      <c r="I517" s="1998">
        <f>IF(Construction!$F$31=Construction!$R$22,Oeko!BV517,Oeko!EI517)</f>
        <v>0</v>
      </c>
      <c r="J517" s="1998">
        <f>IF(Construction!$F$31=Construction!$R$22,Oeko!BW517,Oeko!EJ517)</f>
        <v>0</v>
      </c>
      <c r="K517" s="1998">
        <f>IF(Construction!$F$31=Construction!$R$22,Oeko!BX517,Oeko!EK517)</f>
        <v>0</v>
      </c>
      <c r="L517" s="1998">
        <f>IF(Construction!$F$31=Construction!$R$22,Oeko!BY517,Oeko!EL517)</f>
        <v>0</v>
      </c>
      <c r="M517" s="1998">
        <f>IF(Construction!$F$31=Construction!$R$22,Oeko!BZ517,Oeko!EM517)</f>
        <v>0</v>
      </c>
      <c r="N517" s="1979">
        <f>IF(Construction!$F$31=Construction!$R$22,Oeko!CA517,Oeko!EN517)</f>
        <v>0</v>
      </c>
      <c r="O517" s="1979">
        <f>IF(Construction!$F$31=Construction!$R$22,Oeko!CB517,Oeko!EO517)</f>
        <v>0</v>
      </c>
      <c r="P517" s="1979">
        <f>IF(Construction!$F$31=Construction!$R$22,Oeko!CC517,Oeko!EP517)</f>
        <v>0</v>
      </c>
      <c r="Q517" s="1979">
        <f>IF(Construction!$F$31=Construction!$R$22,Oeko!CD517,Oeko!EQ517)</f>
        <v>0</v>
      </c>
      <c r="R517" s="1979">
        <f>IF(Construction!$F$31=Construction!$R$22,Oeko!CE517,Oeko!ER517)</f>
        <v>0</v>
      </c>
      <c r="S517" s="1998">
        <f>IF(Construction!$F$31=Construction!$R$22,Oeko!CF517,Oeko!ES517)</f>
        <v>0</v>
      </c>
      <c r="T517" s="1998">
        <f>IF(Construction!$F$31=Construction!$R$22,Oeko!CG517,Oeko!ET517)</f>
        <v>0</v>
      </c>
      <c r="U517" s="1998">
        <f>IF(Construction!$F$31=Construction!$R$22,Oeko!CH517,Oeko!EU517)</f>
        <v>0</v>
      </c>
      <c r="V517" s="1998">
        <f>IF(Construction!$F$31=Construction!$R$22,Oeko!CI517,Oeko!EV517)</f>
        <v>0</v>
      </c>
      <c r="W517" s="1998">
        <f>IF(Construction!$F$31=Construction!$R$22,Oeko!CJ517,Oeko!EW517)</f>
        <v>0</v>
      </c>
      <c r="X517" s="1979">
        <f>IF(Construction!$F$31=Construction!$R$22,Oeko!CK517,Oeko!EX517)</f>
        <v>0</v>
      </c>
      <c r="Y517" s="1979">
        <f>IF(Construction!$F$31=Construction!$R$22,Oeko!CL517,Oeko!EY517)</f>
        <v>0</v>
      </c>
      <c r="Z517" s="1979">
        <f>IF(Construction!$F$31=Construction!$R$22,Oeko!CM517,Oeko!EZ517)</f>
        <v>0</v>
      </c>
      <c r="AA517" s="1979">
        <f>IF(Construction!$F$31=Construction!$R$22,Oeko!CN517,Oeko!FA517)</f>
        <v>0</v>
      </c>
      <c r="AB517" s="1979">
        <f>IF(Construction!$F$31=Construction!$R$22,Oeko!CO517,Oeko!FB517)</f>
        <v>0</v>
      </c>
      <c r="AC517" s="1998">
        <f>IF(Construction!$F$31=Construction!$R$22,Oeko!CP517,Oeko!FC517)</f>
        <v>0</v>
      </c>
      <c r="AD517" s="1998">
        <f>IF(Construction!$F$31=Construction!$R$22,Oeko!CQ517,Oeko!FD517)</f>
        <v>0</v>
      </c>
      <c r="AE517" s="1998">
        <f>IF(Construction!$F$31=Construction!$R$22,Oeko!CR517,Oeko!FE517)</f>
        <v>0</v>
      </c>
      <c r="AF517" s="1998">
        <f>IF(Construction!$F$31=Construction!$R$22,Oeko!CS517,Oeko!FF517)</f>
        <v>0</v>
      </c>
      <c r="AG517" s="1998">
        <f>IF(Construction!$F$31=Construction!$R$22,Oeko!CT517,Oeko!FG517)</f>
        <v>0</v>
      </c>
      <c r="AH517" s="1979">
        <f>IF(Construction!$F$31=Construction!$R$22,Oeko!CU517,Oeko!FH517)</f>
        <v>0.13176697946478155</v>
      </c>
      <c r="AI517" s="1979">
        <f>IF(Construction!$F$31=Construction!$R$22,Oeko!CV517,Oeko!FI517)</f>
        <v>0.1324638332930706</v>
      </c>
      <c r="AJ517" s="1979">
        <f>IF(Construction!$F$31=Construction!$R$22,Oeko!CW517,Oeko!FJ517)</f>
        <v>0.13327177976065208</v>
      </c>
      <c r="AK517" s="1979">
        <f>IF(Construction!$F$31=Construction!$R$22,Oeko!CX517,Oeko!FK517)</f>
        <v>0.13420091819837079</v>
      </c>
      <c r="AL517" s="1979">
        <f>IF(Construction!$F$31=Construction!$R$22,Oeko!CY517,Oeko!FL517)</f>
        <v>0.13534214258382965</v>
      </c>
      <c r="AM517" s="1998">
        <f>IF(Construction!$F$31=Construction!$R$22,Oeko!CZ517,Oeko!FM517)</f>
        <v>0</v>
      </c>
      <c r="AN517" s="1998">
        <f>IF(Construction!$F$31=Construction!$R$22,Oeko!DA517,Oeko!FN517)</f>
        <v>0</v>
      </c>
      <c r="AO517" s="1998">
        <f>IF(Construction!$F$31=Construction!$R$22,Oeko!DB517,Oeko!FO517)</f>
        <v>0</v>
      </c>
      <c r="AP517" s="1998">
        <f>IF(Construction!$F$31=Construction!$R$22,Oeko!DC517,Oeko!FP517)</f>
        <v>0</v>
      </c>
      <c r="AQ517" s="1998">
        <f>IF(Construction!$F$31=Construction!$R$22,Oeko!DD517,Oeko!FQ517)</f>
        <v>0</v>
      </c>
      <c r="AR517" s="1979">
        <f>IF(Construction!$F$31=Construction!$R$22,Oeko!DE517,Oeko!FR517)</f>
        <v>1</v>
      </c>
      <c r="AS517" s="1979">
        <f>IF(Construction!$F$31=Construction!$R$22,Oeko!DF517,Oeko!FS517)</f>
        <v>1.0056088787412443</v>
      </c>
      <c r="AT517" s="1979">
        <f>IF(Construction!$F$31=Construction!$R$22,Oeko!DG517,Oeko!FT517)</f>
        <v>1.0121119265571794</v>
      </c>
      <c r="AU517" s="1979">
        <f>IF(Construction!$F$31=Construction!$R$22,Oeko!DH517,Oeko!FU517)</f>
        <v>1.0195904315455047</v>
      </c>
      <c r="AV517" s="1979">
        <f>IF(Construction!$F$31=Construction!$R$22,Oeko!DI517,Oeko!FV517)</f>
        <v>1.0287759865855131</v>
      </c>
      <c r="AW517" s="1998">
        <f>IF(Construction!$F$31=Construction!$R$22,Oeko!DJ517,Oeko!FW517)</f>
        <v>1</v>
      </c>
      <c r="AX517" s="1998">
        <f>IF(Construction!$F$31=Construction!$R$22,Oeko!DK517,Oeko!FX517)</f>
        <v>1.005597761414647</v>
      </c>
      <c r="AY517" s="1998">
        <f>IF(Construction!$F$31=Construction!$R$22,Oeko!DL517,Oeko!FY517)</f>
        <v>1.0120879195765562</v>
      </c>
      <c r="AZ517" s="1998">
        <f>IF(Construction!$F$31=Construction!$R$22,Oeko!DM517,Oeko!FZ517)</f>
        <v>1.0195516014627519</v>
      </c>
      <c r="BA517" s="1998">
        <f>IF(Construction!$F$31=Construction!$R$22,Oeko!DN517,Oeko!GA517)</f>
        <v>1.0287189498664489</v>
      </c>
      <c r="BB517" s="1979">
        <f>IF(Construction!$F$31=Construction!$R$22,Oeko!DO517,Oeko!GB517)</f>
        <v>0.9991895783676058</v>
      </c>
      <c r="BC517" s="1979">
        <f>IF(Construction!$F$31=Construction!$R$22,Oeko!DP517,Oeko!GC517)</f>
        <v>1.000307700517602</v>
      </c>
      <c r="BD517" s="1979">
        <f>IF(Construction!$F$31=Construction!$R$22,Oeko!DQ517,Oeko!GD517)</f>
        <v>1.0016039306206952</v>
      </c>
      <c r="BE517" s="1979">
        <f>IF(Construction!$F$31=Construction!$R$22,Oeko!DR517,Oeko!GE517)</f>
        <v>1.0031178482220173</v>
      </c>
      <c r="BF517" s="1979">
        <f>IF(Construction!$F$31=Construction!$R$22,Oeko!DS517,Oeko!GF517)</f>
        <v>1.0049978766158163</v>
      </c>
      <c r="BG517" s="1998">
        <f>IF(Construction!$F$31=Construction!$R$22,Oeko!DT517,Oeko!GG517)</f>
        <v>1.0006655241964297</v>
      </c>
      <c r="BH517" s="1998">
        <f>IF(Construction!$F$31=Construction!$R$22,Oeko!DU517,Oeko!GH517)</f>
        <v>1.0017795289691467</v>
      </c>
      <c r="BI517" s="1998">
        <f>IF(Construction!$F$31=Construction!$R$22,Oeko!DV517,Oeko!GI517)</f>
        <v>1.0030709858295528</v>
      </c>
      <c r="BJ517" s="1998">
        <f>IF(Construction!$F$31=Construction!$R$22,Oeko!DW517,Oeko!GJ517)</f>
        <v>1.0045793285749127</v>
      </c>
      <c r="BK517" s="2026">
        <f>IF(Construction!$F$31=Construction!$R$22,Oeko!DX517,Oeko!GK517)</f>
        <v>1.0064524339449674</v>
      </c>
      <c r="BN517" s="2022"/>
      <c r="BO517" s="2">
        <v>16</v>
      </c>
      <c r="BP517" s="2" t="str">
        <f>CONCATENATE($U$8," ",GV$10)</f>
        <v xml:space="preserve">Proportion de fenêtres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Proportion de fenêtres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Proportion de fenêtres </v>
      </c>
      <c r="D518" s="1979">
        <f>IF(Construction!$F$31=Construction!$R$22,Oeko!BQ518,Oeko!ED518)</f>
        <v>0</v>
      </c>
      <c r="E518" s="1979">
        <f>IF(Construction!$F$31=Construction!$R$22,Oeko!BR518,Oeko!EE518)</f>
        <v>0</v>
      </c>
      <c r="F518" s="1979">
        <f>IF(Construction!$F$31=Construction!$R$22,Oeko!BS518,Oeko!EF518)</f>
        <v>0</v>
      </c>
      <c r="G518" s="1979">
        <f>IF(Construction!$F$31=Construction!$R$22,Oeko!BT518,Oeko!EG518)</f>
        <v>0</v>
      </c>
      <c r="H518" s="1979">
        <f>IF(Construction!$F$31=Construction!$R$22,Oeko!BU518,Oeko!EH518)</f>
        <v>0</v>
      </c>
      <c r="I518" s="1998">
        <f>IF(Construction!$F$31=Construction!$R$22,Oeko!BV518,Oeko!EI518)</f>
        <v>0</v>
      </c>
      <c r="J518" s="1998">
        <f>IF(Construction!$F$31=Construction!$R$22,Oeko!BW518,Oeko!EJ518)</f>
        <v>0</v>
      </c>
      <c r="K518" s="1998">
        <f>IF(Construction!$F$31=Construction!$R$22,Oeko!BX518,Oeko!EK518)</f>
        <v>0</v>
      </c>
      <c r="L518" s="1998">
        <f>IF(Construction!$F$31=Construction!$R$22,Oeko!BY518,Oeko!EL518)</f>
        <v>0</v>
      </c>
      <c r="M518" s="1998">
        <f>IF(Construction!$F$31=Construction!$R$22,Oeko!BZ518,Oeko!EM518)</f>
        <v>0</v>
      </c>
      <c r="N518" s="1979">
        <f>IF(Construction!$F$31=Construction!$R$22,Oeko!CA518,Oeko!EN518)</f>
        <v>0</v>
      </c>
      <c r="O518" s="1979">
        <f>IF(Construction!$F$31=Construction!$R$22,Oeko!CB518,Oeko!EO518)</f>
        <v>0</v>
      </c>
      <c r="P518" s="1979">
        <f>IF(Construction!$F$31=Construction!$R$22,Oeko!CC518,Oeko!EP518)</f>
        <v>0</v>
      </c>
      <c r="Q518" s="1979">
        <f>IF(Construction!$F$31=Construction!$R$22,Oeko!CD518,Oeko!EQ518)</f>
        <v>0</v>
      </c>
      <c r="R518" s="1979">
        <f>IF(Construction!$F$31=Construction!$R$22,Oeko!CE518,Oeko!ER518)</f>
        <v>0</v>
      </c>
      <c r="S518" s="1998">
        <f>IF(Construction!$F$31=Construction!$R$22,Oeko!CF518,Oeko!ES518)</f>
        <v>0</v>
      </c>
      <c r="T518" s="1998">
        <f>IF(Construction!$F$31=Construction!$R$22,Oeko!CG518,Oeko!ET518)</f>
        <v>0</v>
      </c>
      <c r="U518" s="1998">
        <f>IF(Construction!$F$31=Construction!$R$22,Oeko!CH518,Oeko!EU518)</f>
        <v>0</v>
      </c>
      <c r="V518" s="1998">
        <f>IF(Construction!$F$31=Construction!$R$22,Oeko!CI518,Oeko!EV518)</f>
        <v>0</v>
      </c>
      <c r="W518" s="1998">
        <f>IF(Construction!$F$31=Construction!$R$22,Oeko!CJ518,Oeko!EW518)</f>
        <v>0</v>
      </c>
      <c r="X518" s="1979">
        <f>IF(Construction!$F$31=Construction!$R$22,Oeko!CK518,Oeko!EX518)</f>
        <v>0</v>
      </c>
      <c r="Y518" s="1979">
        <f>IF(Construction!$F$31=Construction!$R$22,Oeko!CL518,Oeko!EY518)</f>
        <v>0</v>
      </c>
      <c r="Z518" s="1979">
        <f>IF(Construction!$F$31=Construction!$R$22,Oeko!CM518,Oeko!EZ518)</f>
        <v>0</v>
      </c>
      <c r="AA518" s="1979">
        <f>IF(Construction!$F$31=Construction!$R$22,Oeko!CN518,Oeko!FA518)</f>
        <v>0</v>
      </c>
      <c r="AB518" s="1979">
        <f>IF(Construction!$F$31=Construction!$R$22,Oeko!CO518,Oeko!FB518)</f>
        <v>0</v>
      </c>
      <c r="AC518" s="1998">
        <f>IF(Construction!$F$31=Construction!$R$22,Oeko!CP518,Oeko!FC518)</f>
        <v>0</v>
      </c>
      <c r="AD518" s="1998">
        <f>IF(Construction!$F$31=Construction!$R$22,Oeko!CQ518,Oeko!FD518)</f>
        <v>0</v>
      </c>
      <c r="AE518" s="1998">
        <f>IF(Construction!$F$31=Construction!$R$22,Oeko!CR518,Oeko!FE518)</f>
        <v>0</v>
      </c>
      <c r="AF518" s="1998">
        <f>IF(Construction!$F$31=Construction!$R$22,Oeko!CS518,Oeko!FF518)</f>
        <v>0</v>
      </c>
      <c r="AG518" s="1998">
        <f>IF(Construction!$F$31=Construction!$R$22,Oeko!CT518,Oeko!FG518)</f>
        <v>0</v>
      </c>
      <c r="AH518" s="1979">
        <f>IF(Construction!$F$31=Construction!$R$22,Oeko!CU518,Oeko!FH518)</f>
        <v>0.12982825420535779</v>
      </c>
      <c r="AI518" s="1979">
        <f>IF(Construction!$F$31=Construction!$R$22,Oeko!CV518,Oeko!FI518)</f>
        <v>0.13052510803364681</v>
      </c>
      <c r="AJ518" s="1979">
        <f>IF(Construction!$F$31=Construction!$R$22,Oeko!CW518,Oeko!FJ518)</f>
        <v>0.13133305450122834</v>
      </c>
      <c r="AK518" s="1979">
        <f>IF(Construction!$F$31=Construction!$R$22,Oeko!CX518,Oeko!FK518)</f>
        <v>0.13226219293894703</v>
      </c>
      <c r="AL518" s="1979">
        <f>IF(Construction!$F$31=Construction!$R$22,Oeko!CY518,Oeko!FL518)</f>
        <v>0.13340341732440589</v>
      </c>
      <c r="AM518" s="1998">
        <f>IF(Construction!$F$31=Construction!$R$22,Oeko!CZ518,Oeko!FM518)</f>
        <v>0</v>
      </c>
      <c r="AN518" s="1998">
        <f>IF(Construction!$F$31=Construction!$R$22,Oeko!DA518,Oeko!FN518)</f>
        <v>0</v>
      </c>
      <c r="AO518" s="1998">
        <f>IF(Construction!$F$31=Construction!$R$22,Oeko!DB518,Oeko!FO518)</f>
        <v>0</v>
      </c>
      <c r="AP518" s="1998">
        <f>IF(Construction!$F$31=Construction!$R$22,Oeko!DC518,Oeko!FP518)</f>
        <v>0</v>
      </c>
      <c r="AQ518" s="1998">
        <f>IF(Construction!$F$31=Construction!$R$22,Oeko!DD518,Oeko!FQ518)</f>
        <v>0</v>
      </c>
      <c r="AR518" s="1979">
        <f>IF(Construction!$F$31=Construction!$R$22,Oeko!DE518,Oeko!FR518)</f>
        <v>0.99304889218954706</v>
      </c>
      <c r="AS518" s="1979">
        <f>IF(Construction!$F$31=Construction!$R$22,Oeko!DF518,Oeko!FS518)</f>
        <v>0.998657770930791</v>
      </c>
      <c r="AT518" s="1979">
        <f>IF(Construction!$F$31=Construction!$R$22,Oeko!DG518,Oeko!FT518)</f>
        <v>1.0051608187467262</v>
      </c>
      <c r="AU518" s="1979">
        <f>IF(Construction!$F$31=Construction!$R$22,Oeko!DH518,Oeko!FU518)</f>
        <v>1.0126393237350515</v>
      </c>
      <c r="AV518" s="1979">
        <f>IF(Construction!$F$31=Construction!$R$22,Oeko!DI518,Oeko!FV518)</f>
        <v>1.0218248787750599</v>
      </c>
      <c r="AW518" s="1998">
        <f>IF(Construction!$F$31=Construction!$R$22,Oeko!DJ518,Oeko!FW518)</f>
        <v>0.99277951361178551</v>
      </c>
      <c r="AX518" s="1998">
        <f>IF(Construction!$F$31=Construction!$R$22,Oeko!DK518,Oeko!FX518)</f>
        <v>0.99837727502643248</v>
      </c>
      <c r="AY518" s="1998">
        <f>IF(Construction!$F$31=Construction!$R$22,Oeko!DL518,Oeko!FY518)</f>
        <v>1.0048674331883418</v>
      </c>
      <c r="AZ518" s="1998">
        <f>IF(Construction!$F$31=Construction!$R$22,Oeko!DM518,Oeko!FZ518)</f>
        <v>1.0123311150745373</v>
      </c>
      <c r="BA518" s="1998">
        <f>IF(Construction!$F$31=Construction!$R$22,Oeko!DN518,Oeko!GA518)</f>
        <v>1.0214984634782343</v>
      </c>
      <c r="BB518" s="1979">
        <f>IF(Construction!$F$31=Construction!$R$22,Oeko!DO518,Oeko!GB518)</f>
        <v>0.99838761305725809</v>
      </c>
      <c r="BC518" s="1979">
        <f>IF(Construction!$F$31=Construction!$R$22,Oeko!DP518,Oeko!GC518)</f>
        <v>0.99950573520725439</v>
      </c>
      <c r="BD518" s="1979">
        <f>IF(Construction!$F$31=Construction!$R$22,Oeko!DQ518,Oeko!GD518)</f>
        <v>1.0008019653103475</v>
      </c>
      <c r="BE518" s="1979">
        <f>IF(Construction!$F$31=Construction!$R$22,Oeko!DR518,Oeko!GE518)</f>
        <v>1.0023158829116698</v>
      </c>
      <c r="BF518" s="1979">
        <f>IF(Construction!$F$31=Construction!$R$22,Oeko!DS518,Oeko!GF518)</f>
        <v>1.0041959113054688</v>
      </c>
      <c r="BG518" s="1998">
        <f>IF(Construction!$F$31=Construction!$R$22,Oeko!DT518,Oeko!GG518)</f>
        <v>0.99913003128165334</v>
      </c>
      <c r="BH518" s="1998">
        <f>IF(Construction!$F$31=Construction!$R$22,Oeko!DU518,Oeko!GH518)</f>
        <v>1.0002440360543703</v>
      </c>
      <c r="BI518" s="1998">
        <f>IF(Construction!$F$31=Construction!$R$22,Oeko!DV518,Oeko!GI518)</f>
        <v>1.0015354929147764</v>
      </c>
      <c r="BJ518" s="1998">
        <f>IF(Construction!$F$31=Construction!$R$22,Oeko!DW518,Oeko!GJ518)</f>
        <v>1.0030438356601363</v>
      </c>
      <c r="BK518" s="2026">
        <f>IF(Construction!$F$31=Construction!$R$22,Oeko!DX518,Oeko!GK518)</f>
        <v>1.004916941030191</v>
      </c>
      <c r="BN518" s="2022"/>
      <c r="BO518" s="2">
        <v>17</v>
      </c>
      <c r="BP518" s="2" t="str">
        <f>CONCATENATE($U$8," ",GV$11)</f>
        <v xml:space="preserve">Proportion de fenêtres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Proportion de fenêtres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Proportion de fenêtres </v>
      </c>
      <c r="D519" s="1979">
        <f>IF(Construction!$F$31=Construction!$R$22,Oeko!BQ519,Oeko!ED519)</f>
        <v>0</v>
      </c>
      <c r="E519" s="1979">
        <f>IF(Construction!$F$31=Construction!$R$22,Oeko!BR519,Oeko!EE519)</f>
        <v>0</v>
      </c>
      <c r="F519" s="1979">
        <f>IF(Construction!$F$31=Construction!$R$22,Oeko!BS519,Oeko!EF519)</f>
        <v>0</v>
      </c>
      <c r="G519" s="1979">
        <f>IF(Construction!$F$31=Construction!$R$22,Oeko!BT519,Oeko!EG519)</f>
        <v>0</v>
      </c>
      <c r="H519" s="1979">
        <f>IF(Construction!$F$31=Construction!$R$22,Oeko!BU519,Oeko!EH519)</f>
        <v>0</v>
      </c>
      <c r="I519" s="1998">
        <f>IF(Construction!$F$31=Construction!$R$22,Oeko!BV519,Oeko!EI519)</f>
        <v>0</v>
      </c>
      <c r="J519" s="1998">
        <f>IF(Construction!$F$31=Construction!$R$22,Oeko!BW519,Oeko!EJ519)</f>
        <v>0</v>
      </c>
      <c r="K519" s="1998">
        <f>IF(Construction!$F$31=Construction!$R$22,Oeko!BX519,Oeko!EK519)</f>
        <v>0</v>
      </c>
      <c r="L519" s="1998">
        <f>IF(Construction!$F$31=Construction!$R$22,Oeko!BY519,Oeko!EL519)</f>
        <v>0</v>
      </c>
      <c r="M519" s="1998">
        <f>IF(Construction!$F$31=Construction!$R$22,Oeko!BZ519,Oeko!EM519)</f>
        <v>0</v>
      </c>
      <c r="N519" s="1979">
        <f>IF(Construction!$F$31=Construction!$R$22,Oeko!CA519,Oeko!EN519)</f>
        <v>0</v>
      </c>
      <c r="O519" s="1979">
        <f>IF(Construction!$F$31=Construction!$R$22,Oeko!CB519,Oeko!EO519)</f>
        <v>0</v>
      </c>
      <c r="P519" s="1979">
        <f>IF(Construction!$F$31=Construction!$R$22,Oeko!CC519,Oeko!EP519)</f>
        <v>0</v>
      </c>
      <c r="Q519" s="1979">
        <f>IF(Construction!$F$31=Construction!$R$22,Oeko!CD519,Oeko!EQ519)</f>
        <v>0</v>
      </c>
      <c r="R519" s="1979">
        <f>IF(Construction!$F$31=Construction!$R$22,Oeko!CE519,Oeko!ER519)</f>
        <v>0</v>
      </c>
      <c r="S519" s="1998">
        <f>IF(Construction!$F$31=Construction!$R$22,Oeko!CF519,Oeko!ES519)</f>
        <v>0</v>
      </c>
      <c r="T519" s="1998">
        <f>IF(Construction!$F$31=Construction!$R$22,Oeko!CG519,Oeko!ET519)</f>
        <v>0</v>
      </c>
      <c r="U519" s="1998">
        <f>IF(Construction!$F$31=Construction!$R$22,Oeko!CH519,Oeko!EU519)</f>
        <v>0</v>
      </c>
      <c r="V519" s="1998">
        <f>IF(Construction!$F$31=Construction!$R$22,Oeko!CI519,Oeko!EV519)</f>
        <v>0</v>
      </c>
      <c r="W519" s="1998">
        <f>IF(Construction!$F$31=Construction!$R$22,Oeko!CJ519,Oeko!EW519)</f>
        <v>0</v>
      </c>
      <c r="X519" s="1979">
        <f>IF(Construction!$F$31=Construction!$R$22,Oeko!CK519,Oeko!EX519)</f>
        <v>0</v>
      </c>
      <c r="Y519" s="1979">
        <f>IF(Construction!$F$31=Construction!$R$22,Oeko!CL519,Oeko!EY519)</f>
        <v>0</v>
      </c>
      <c r="Z519" s="1979">
        <f>IF(Construction!$F$31=Construction!$R$22,Oeko!CM519,Oeko!EZ519)</f>
        <v>0</v>
      </c>
      <c r="AA519" s="1979">
        <f>IF(Construction!$F$31=Construction!$R$22,Oeko!CN519,Oeko!FA519)</f>
        <v>0</v>
      </c>
      <c r="AB519" s="1979">
        <f>IF(Construction!$F$31=Construction!$R$22,Oeko!CO519,Oeko!FB519)</f>
        <v>0</v>
      </c>
      <c r="AC519" s="1998">
        <f>IF(Construction!$F$31=Construction!$R$22,Oeko!CP519,Oeko!FC519)</f>
        <v>0</v>
      </c>
      <c r="AD519" s="1998">
        <f>IF(Construction!$F$31=Construction!$R$22,Oeko!CQ519,Oeko!FD519)</f>
        <v>0</v>
      </c>
      <c r="AE519" s="1998">
        <f>IF(Construction!$F$31=Construction!$R$22,Oeko!CR519,Oeko!FE519)</f>
        <v>0</v>
      </c>
      <c r="AF519" s="1998">
        <f>IF(Construction!$F$31=Construction!$R$22,Oeko!CS519,Oeko!FF519)</f>
        <v>0</v>
      </c>
      <c r="AG519" s="1998">
        <f>IF(Construction!$F$31=Construction!$R$22,Oeko!CT519,Oeko!FG519)</f>
        <v>0</v>
      </c>
      <c r="AH519" s="1979">
        <f>IF(Construction!$F$31=Construction!$R$22,Oeko!CU519,Oeko!FH519)</f>
        <v>0.12788952894593403</v>
      </c>
      <c r="AI519" s="1979">
        <f>IF(Construction!$F$31=Construction!$R$22,Oeko!CV519,Oeko!FI519)</f>
        <v>0.12858638277422305</v>
      </c>
      <c r="AJ519" s="1979">
        <f>IF(Construction!$F$31=Construction!$R$22,Oeko!CW519,Oeko!FJ519)</f>
        <v>0.12939432924180455</v>
      </c>
      <c r="AK519" s="1979">
        <f>IF(Construction!$F$31=Construction!$R$22,Oeko!CX519,Oeko!FK519)</f>
        <v>0.13032346767952327</v>
      </c>
      <c r="AL519" s="1979">
        <f>IF(Construction!$F$31=Construction!$R$22,Oeko!CY519,Oeko!FL519)</f>
        <v>0.13146469206498215</v>
      </c>
      <c r="AM519" s="1998">
        <f>IF(Construction!$F$31=Construction!$R$22,Oeko!CZ519,Oeko!FM519)</f>
        <v>0</v>
      </c>
      <c r="AN519" s="1998">
        <f>IF(Construction!$F$31=Construction!$R$22,Oeko!DA519,Oeko!FN519)</f>
        <v>0</v>
      </c>
      <c r="AO519" s="1998">
        <f>IF(Construction!$F$31=Construction!$R$22,Oeko!DB519,Oeko!FO519)</f>
        <v>0</v>
      </c>
      <c r="AP519" s="1998">
        <f>IF(Construction!$F$31=Construction!$R$22,Oeko!DC519,Oeko!FP519)</f>
        <v>0</v>
      </c>
      <c r="AQ519" s="1998">
        <f>IF(Construction!$F$31=Construction!$R$22,Oeko!DD519,Oeko!FQ519)</f>
        <v>0</v>
      </c>
      <c r="AR519" s="1979">
        <f>IF(Construction!$F$31=Construction!$R$22,Oeko!DE519,Oeko!FR519)</f>
        <v>0.9860977843790939</v>
      </c>
      <c r="AS519" s="1979">
        <f>IF(Construction!$F$31=Construction!$R$22,Oeko!DF519,Oeko!FS519)</f>
        <v>0.99170666312033795</v>
      </c>
      <c r="AT519" s="1979">
        <f>IF(Construction!$F$31=Construction!$R$22,Oeko!DG519,Oeko!FT519)</f>
        <v>0.99820971093627298</v>
      </c>
      <c r="AU519" s="1979">
        <f>IF(Construction!$F$31=Construction!$R$22,Oeko!DH519,Oeko!FU519)</f>
        <v>1.0056882159245986</v>
      </c>
      <c r="AV519" s="1979">
        <f>IF(Construction!$F$31=Construction!$R$22,Oeko!DI519,Oeko!FV519)</f>
        <v>1.014873770964607</v>
      </c>
      <c r="AW519" s="1998">
        <f>IF(Construction!$F$31=Construction!$R$22,Oeko!DJ519,Oeko!FW519)</f>
        <v>0.98555902722357103</v>
      </c>
      <c r="AX519" s="1998">
        <f>IF(Construction!$F$31=Construction!$R$22,Oeko!DK519,Oeko!FX519)</f>
        <v>0.99115678863821799</v>
      </c>
      <c r="AY519" s="1998">
        <f>IF(Construction!$F$31=Construction!$R$22,Oeko!DL519,Oeko!FY519)</f>
        <v>0.99764694680012733</v>
      </c>
      <c r="AZ519" s="1998">
        <f>IF(Construction!$F$31=Construction!$R$22,Oeko!DM519,Oeko!FZ519)</f>
        <v>1.0051106286863229</v>
      </c>
      <c r="BA519" s="1998">
        <f>IF(Construction!$F$31=Construction!$R$22,Oeko!DN519,Oeko!GA519)</f>
        <v>1.0142779770900199</v>
      </c>
      <c r="BB519" s="1979">
        <f>IF(Construction!$F$31=Construction!$R$22,Oeko!DO519,Oeko!GB519)</f>
        <v>0.99758564774691061</v>
      </c>
      <c r="BC519" s="1979">
        <f>IF(Construction!$F$31=Construction!$R$22,Oeko!DP519,Oeko!GC519)</f>
        <v>0.99870376989690712</v>
      </c>
      <c r="BD519" s="1979">
        <f>IF(Construction!$F$31=Construction!$R$22,Oeko!DQ519,Oeko!GD519)</f>
        <v>1</v>
      </c>
      <c r="BE519" s="1979">
        <f>IF(Construction!$F$31=Construction!$R$22,Oeko!DR519,Oeko!GE519)</f>
        <v>1.0015139176013224</v>
      </c>
      <c r="BF519" s="1979">
        <f>IF(Construction!$F$31=Construction!$R$22,Oeko!DS519,Oeko!GF519)</f>
        <v>1.0033939459951213</v>
      </c>
      <c r="BG519" s="1998">
        <f>IF(Construction!$F$31=Construction!$R$22,Oeko!DT519,Oeko!GG519)</f>
        <v>0.99759453836687695</v>
      </c>
      <c r="BH519" s="1998">
        <f>IF(Construction!$F$31=Construction!$R$22,Oeko!DU519,Oeko!GH519)</f>
        <v>0.99870854313959367</v>
      </c>
      <c r="BI519" s="1998">
        <f>IF(Construction!$F$31=Construction!$R$22,Oeko!DV519,Oeko!GI519)</f>
        <v>1</v>
      </c>
      <c r="BJ519" s="1998">
        <f>IF(Construction!$F$31=Construction!$R$22,Oeko!DW519,Oeko!GJ519)</f>
        <v>1.0015083427453599</v>
      </c>
      <c r="BK519" s="2026">
        <f>IF(Construction!$F$31=Construction!$R$22,Oeko!DX519,Oeko!GK519)</f>
        <v>1.0033814481154146</v>
      </c>
      <c r="BN519" s="2022"/>
      <c r="BO519" s="2">
        <v>18</v>
      </c>
      <c r="BP519" s="2" t="str">
        <f>CONCATENATE($U$8," ",GV$12)</f>
        <v xml:space="preserve">Proportion de fenêtres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Proportion de fenêtres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Proportion de fenêtres </v>
      </c>
      <c r="D520" s="1979">
        <f>IF(Construction!$F$31=Construction!$R$22,Oeko!BQ520,Oeko!ED520)</f>
        <v>0</v>
      </c>
      <c r="E520" s="1979">
        <f>IF(Construction!$F$31=Construction!$R$22,Oeko!BR520,Oeko!EE520)</f>
        <v>0</v>
      </c>
      <c r="F520" s="1979">
        <f>IF(Construction!$F$31=Construction!$R$22,Oeko!BS520,Oeko!EF520)</f>
        <v>0</v>
      </c>
      <c r="G520" s="1979">
        <f>IF(Construction!$F$31=Construction!$R$22,Oeko!BT520,Oeko!EG520)</f>
        <v>0</v>
      </c>
      <c r="H520" s="1979">
        <f>IF(Construction!$F$31=Construction!$R$22,Oeko!BU520,Oeko!EH520)</f>
        <v>0</v>
      </c>
      <c r="I520" s="1998">
        <f>IF(Construction!$F$31=Construction!$R$22,Oeko!BV520,Oeko!EI520)</f>
        <v>0</v>
      </c>
      <c r="J520" s="1998">
        <f>IF(Construction!$F$31=Construction!$R$22,Oeko!BW520,Oeko!EJ520)</f>
        <v>0</v>
      </c>
      <c r="K520" s="1998">
        <f>IF(Construction!$F$31=Construction!$R$22,Oeko!BX520,Oeko!EK520)</f>
        <v>0</v>
      </c>
      <c r="L520" s="1998">
        <f>IF(Construction!$F$31=Construction!$R$22,Oeko!BY520,Oeko!EL520)</f>
        <v>0</v>
      </c>
      <c r="M520" s="1998">
        <f>IF(Construction!$F$31=Construction!$R$22,Oeko!BZ520,Oeko!EM520)</f>
        <v>0</v>
      </c>
      <c r="N520" s="1979">
        <f>IF(Construction!$F$31=Construction!$R$22,Oeko!CA520,Oeko!EN520)</f>
        <v>0</v>
      </c>
      <c r="O520" s="1979">
        <f>IF(Construction!$F$31=Construction!$R$22,Oeko!CB520,Oeko!EO520)</f>
        <v>0</v>
      </c>
      <c r="P520" s="1979">
        <f>IF(Construction!$F$31=Construction!$R$22,Oeko!CC520,Oeko!EP520)</f>
        <v>0</v>
      </c>
      <c r="Q520" s="1979">
        <f>IF(Construction!$F$31=Construction!$R$22,Oeko!CD520,Oeko!EQ520)</f>
        <v>0</v>
      </c>
      <c r="R520" s="1979">
        <f>IF(Construction!$F$31=Construction!$R$22,Oeko!CE520,Oeko!ER520)</f>
        <v>0</v>
      </c>
      <c r="S520" s="1998">
        <f>IF(Construction!$F$31=Construction!$R$22,Oeko!CF520,Oeko!ES520)</f>
        <v>0</v>
      </c>
      <c r="T520" s="1998">
        <f>IF(Construction!$F$31=Construction!$R$22,Oeko!CG520,Oeko!ET520)</f>
        <v>0</v>
      </c>
      <c r="U520" s="1998">
        <f>IF(Construction!$F$31=Construction!$R$22,Oeko!CH520,Oeko!EU520)</f>
        <v>0</v>
      </c>
      <c r="V520" s="1998">
        <f>IF(Construction!$F$31=Construction!$R$22,Oeko!CI520,Oeko!EV520)</f>
        <v>0</v>
      </c>
      <c r="W520" s="1998">
        <f>IF(Construction!$F$31=Construction!$R$22,Oeko!CJ520,Oeko!EW520)</f>
        <v>0</v>
      </c>
      <c r="X520" s="1979">
        <f>IF(Construction!$F$31=Construction!$R$22,Oeko!CK520,Oeko!EX520)</f>
        <v>0</v>
      </c>
      <c r="Y520" s="1979">
        <f>IF(Construction!$F$31=Construction!$R$22,Oeko!CL520,Oeko!EY520)</f>
        <v>0</v>
      </c>
      <c r="Z520" s="1979">
        <f>IF(Construction!$F$31=Construction!$R$22,Oeko!CM520,Oeko!EZ520)</f>
        <v>0</v>
      </c>
      <c r="AA520" s="1979">
        <f>IF(Construction!$F$31=Construction!$R$22,Oeko!CN520,Oeko!FA520)</f>
        <v>0</v>
      </c>
      <c r="AB520" s="1979">
        <f>IF(Construction!$F$31=Construction!$R$22,Oeko!CO520,Oeko!FB520)</f>
        <v>0</v>
      </c>
      <c r="AC520" s="1998">
        <f>IF(Construction!$F$31=Construction!$R$22,Oeko!CP520,Oeko!FC520)</f>
        <v>0</v>
      </c>
      <c r="AD520" s="1998">
        <f>IF(Construction!$F$31=Construction!$R$22,Oeko!CQ520,Oeko!FD520)</f>
        <v>0</v>
      </c>
      <c r="AE520" s="1998">
        <f>IF(Construction!$F$31=Construction!$R$22,Oeko!CR520,Oeko!FE520)</f>
        <v>0</v>
      </c>
      <c r="AF520" s="1998">
        <f>IF(Construction!$F$31=Construction!$R$22,Oeko!CS520,Oeko!FF520)</f>
        <v>0</v>
      </c>
      <c r="AG520" s="1998">
        <f>IF(Construction!$F$31=Construction!$R$22,Oeko!CT520,Oeko!FG520)</f>
        <v>0</v>
      </c>
      <c r="AH520" s="1979">
        <f>IF(Construction!$F$31=Construction!$R$22,Oeko!CU520,Oeko!FH520)</f>
        <v>0.12595080368651024</v>
      </c>
      <c r="AI520" s="1979">
        <f>IF(Construction!$F$31=Construction!$R$22,Oeko!CV520,Oeko!FI520)</f>
        <v>0.12664765751479931</v>
      </c>
      <c r="AJ520" s="1979">
        <f>IF(Construction!$F$31=Construction!$R$22,Oeko!CW520,Oeko!FJ520)</f>
        <v>0.12745560398238079</v>
      </c>
      <c r="AK520" s="1979">
        <f>IF(Construction!$F$31=Construction!$R$22,Oeko!CX520,Oeko!FK520)</f>
        <v>0.12838474242009951</v>
      </c>
      <c r="AL520" s="1979">
        <f>IF(Construction!$F$31=Construction!$R$22,Oeko!CY520,Oeko!FL520)</f>
        <v>0.12952596680555836</v>
      </c>
      <c r="AM520" s="1998">
        <f>IF(Construction!$F$31=Construction!$R$22,Oeko!CZ520,Oeko!FM520)</f>
        <v>0</v>
      </c>
      <c r="AN520" s="1998">
        <f>IF(Construction!$F$31=Construction!$R$22,Oeko!DA520,Oeko!FN520)</f>
        <v>0</v>
      </c>
      <c r="AO520" s="1998">
        <f>IF(Construction!$F$31=Construction!$R$22,Oeko!DB520,Oeko!FO520)</f>
        <v>0</v>
      </c>
      <c r="AP520" s="1998">
        <f>IF(Construction!$F$31=Construction!$R$22,Oeko!DC520,Oeko!FP520)</f>
        <v>0</v>
      </c>
      <c r="AQ520" s="1998">
        <f>IF(Construction!$F$31=Construction!$R$22,Oeko!DD520,Oeko!FQ520)</f>
        <v>0</v>
      </c>
      <c r="AR520" s="1979">
        <f>IF(Construction!$F$31=Construction!$R$22,Oeko!DE520,Oeko!FR520)</f>
        <v>0.97914667656864074</v>
      </c>
      <c r="AS520" s="1979">
        <f>IF(Construction!$F$31=Construction!$R$22,Oeko!DF520,Oeko!FS520)</f>
        <v>0.98475555530988501</v>
      </c>
      <c r="AT520" s="1979">
        <f>IF(Construction!$F$31=Construction!$R$22,Oeko!DG520,Oeko!FT520)</f>
        <v>0.99125860312582004</v>
      </c>
      <c r="AU520" s="1979">
        <f>IF(Construction!$F$31=Construction!$R$22,Oeko!DH520,Oeko!FU520)</f>
        <v>0.9987371081141454</v>
      </c>
      <c r="AV520" s="1979">
        <f>IF(Construction!$F$31=Construction!$R$22,Oeko!DI520,Oeko!FV520)</f>
        <v>1.0079226631541538</v>
      </c>
      <c r="AW520" s="1998">
        <f>IF(Construction!$F$31=Construction!$R$22,Oeko!DJ520,Oeko!FW520)</f>
        <v>0.97833854083535654</v>
      </c>
      <c r="AX520" s="1998">
        <f>IF(Construction!$F$31=Construction!$R$22,Oeko!DK520,Oeko!FX520)</f>
        <v>0.9839363022500035</v>
      </c>
      <c r="AY520" s="1998">
        <f>IF(Construction!$F$31=Construction!$R$22,Oeko!DL520,Oeko!FY520)</f>
        <v>0.99042646041191285</v>
      </c>
      <c r="AZ520" s="1998">
        <f>IF(Construction!$F$31=Construction!$R$22,Oeko!DM520,Oeko!FZ520)</f>
        <v>0.99789014229810868</v>
      </c>
      <c r="BA520" s="1998">
        <f>IF(Construction!$F$31=Construction!$R$22,Oeko!DN520,Oeko!GA520)</f>
        <v>1.0070574907018053</v>
      </c>
      <c r="BB520" s="1979">
        <f>IF(Construction!$F$31=Construction!$R$22,Oeko!DO520,Oeko!GB520)</f>
        <v>0.99678368243656312</v>
      </c>
      <c r="BC520" s="1979">
        <f>IF(Construction!$F$31=Construction!$R$22,Oeko!DP520,Oeko!GC520)</f>
        <v>0.99790180458655942</v>
      </c>
      <c r="BD520" s="1979">
        <f>IF(Construction!$F$31=Construction!$R$22,Oeko!DQ520,Oeko!GD520)</f>
        <v>0.99919803468965251</v>
      </c>
      <c r="BE520" s="1979">
        <f>IF(Construction!$F$31=Construction!$R$22,Oeko!DR520,Oeko!GE520)</f>
        <v>1.0007119522909749</v>
      </c>
      <c r="BF520" s="1979">
        <f>IF(Construction!$F$31=Construction!$R$22,Oeko!DS520,Oeko!GF520)</f>
        <v>1.0025919806847738</v>
      </c>
      <c r="BG520" s="1998">
        <f>IF(Construction!$F$31=Construction!$R$22,Oeko!DT520,Oeko!GG520)</f>
        <v>0.99605904545210078</v>
      </c>
      <c r="BH520" s="1998">
        <f>IF(Construction!$F$31=Construction!$R$22,Oeko!DU520,Oeko!GH520)</f>
        <v>0.99717305022481728</v>
      </c>
      <c r="BI520" s="1998">
        <f>IF(Construction!$F$31=Construction!$R$22,Oeko!DV520,Oeko!GI520)</f>
        <v>0.99846450708522361</v>
      </c>
      <c r="BJ520" s="1998">
        <f>IF(Construction!$F$31=Construction!$R$22,Oeko!DW520,Oeko!GJ520)</f>
        <v>0.99997284983058354</v>
      </c>
      <c r="BK520" s="2026">
        <f>IF(Construction!$F$31=Construction!$R$22,Oeko!DX520,Oeko!GK520)</f>
        <v>1.0018459552006382</v>
      </c>
      <c r="BN520" s="2022"/>
      <c r="BO520" s="2">
        <v>19</v>
      </c>
      <c r="BP520" s="2" t="str">
        <f>CONCATENATE($U$8," ",GV$13)</f>
        <v xml:space="preserve">Proportion de fenêtres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Proportion de fenêtres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Proportion de fenêtres </v>
      </c>
      <c r="D521" s="1979">
        <f>IF(Construction!$F$31=Construction!$R$22,Oeko!BQ521,Oeko!ED521)</f>
        <v>0</v>
      </c>
      <c r="E521" s="1979">
        <f>IF(Construction!$F$31=Construction!$R$22,Oeko!BR521,Oeko!EE521)</f>
        <v>0</v>
      </c>
      <c r="F521" s="1979">
        <f>IF(Construction!$F$31=Construction!$R$22,Oeko!BS521,Oeko!EF521)</f>
        <v>0</v>
      </c>
      <c r="G521" s="1979">
        <f>IF(Construction!$F$31=Construction!$R$22,Oeko!BT521,Oeko!EG521)</f>
        <v>0</v>
      </c>
      <c r="H521" s="1979">
        <f>IF(Construction!$F$31=Construction!$R$22,Oeko!BU521,Oeko!EH521)</f>
        <v>0</v>
      </c>
      <c r="I521" s="1998">
        <f>IF(Construction!$F$31=Construction!$R$22,Oeko!BV521,Oeko!EI521)</f>
        <v>0</v>
      </c>
      <c r="J521" s="1998">
        <f>IF(Construction!$F$31=Construction!$R$22,Oeko!BW521,Oeko!EJ521)</f>
        <v>0</v>
      </c>
      <c r="K521" s="1998">
        <f>IF(Construction!$F$31=Construction!$R$22,Oeko!BX521,Oeko!EK521)</f>
        <v>0</v>
      </c>
      <c r="L521" s="1998">
        <f>IF(Construction!$F$31=Construction!$R$22,Oeko!BY521,Oeko!EL521)</f>
        <v>0</v>
      </c>
      <c r="M521" s="1998">
        <f>IF(Construction!$F$31=Construction!$R$22,Oeko!BZ521,Oeko!EM521)</f>
        <v>0</v>
      </c>
      <c r="N521" s="1979">
        <f>IF(Construction!$F$31=Construction!$R$22,Oeko!CA521,Oeko!EN521)</f>
        <v>0</v>
      </c>
      <c r="O521" s="1979">
        <f>IF(Construction!$F$31=Construction!$R$22,Oeko!CB521,Oeko!EO521)</f>
        <v>0</v>
      </c>
      <c r="P521" s="1979">
        <f>IF(Construction!$F$31=Construction!$R$22,Oeko!CC521,Oeko!EP521)</f>
        <v>0</v>
      </c>
      <c r="Q521" s="1979">
        <f>IF(Construction!$F$31=Construction!$R$22,Oeko!CD521,Oeko!EQ521)</f>
        <v>0</v>
      </c>
      <c r="R521" s="1979">
        <f>IF(Construction!$F$31=Construction!$R$22,Oeko!CE521,Oeko!ER521)</f>
        <v>0</v>
      </c>
      <c r="S521" s="1998">
        <f>IF(Construction!$F$31=Construction!$R$22,Oeko!CF521,Oeko!ES521)</f>
        <v>0</v>
      </c>
      <c r="T521" s="1998">
        <f>IF(Construction!$F$31=Construction!$R$22,Oeko!CG521,Oeko!ET521)</f>
        <v>0</v>
      </c>
      <c r="U521" s="1998">
        <f>IF(Construction!$F$31=Construction!$R$22,Oeko!CH521,Oeko!EU521)</f>
        <v>0</v>
      </c>
      <c r="V521" s="1998">
        <f>IF(Construction!$F$31=Construction!$R$22,Oeko!CI521,Oeko!EV521)</f>
        <v>0</v>
      </c>
      <c r="W521" s="1998">
        <f>IF(Construction!$F$31=Construction!$R$22,Oeko!CJ521,Oeko!EW521)</f>
        <v>0</v>
      </c>
      <c r="X521" s="1979">
        <f>IF(Construction!$F$31=Construction!$R$22,Oeko!CK521,Oeko!EX521)</f>
        <v>0</v>
      </c>
      <c r="Y521" s="1979">
        <f>IF(Construction!$F$31=Construction!$R$22,Oeko!CL521,Oeko!EY521)</f>
        <v>0</v>
      </c>
      <c r="Z521" s="1979">
        <f>IF(Construction!$F$31=Construction!$R$22,Oeko!CM521,Oeko!EZ521)</f>
        <v>0</v>
      </c>
      <c r="AA521" s="1979">
        <f>IF(Construction!$F$31=Construction!$R$22,Oeko!CN521,Oeko!FA521)</f>
        <v>0</v>
      </c>
      <c r="AB521" s="1979">
        <f>IF(Construction!$F$31=Construction!$R$22,Oeko!CO521,Oeko!FB521)</f>
        <v>0</v>
      </c>
      <c r="AC521" s="1998">
        <f>IF(Construction!$F$31=Construction!$R$22,Oeko!CP521,Oeko!FC521)</f>
        <v>0</v>
      </c>
      <c r="AD521" s="1998">
        <f>IF(Construction!$F$31=Construction!$R$22,Oeko!CQ521,Oeko!FD521)</f>
        <v>0</v>
      </c>
      <c r="AE521" s="1998">
        <f>IF(Construction!$F$31=Construction!$R$22,Oeko!CR521,Oeko!FE521)</f>
        <v>0</v>
      </c>
      <c r="AF521" s="1998">
        <f>IF(Construction!$F$31=Construction!$R$22,Oeko!CS521,Oeko!FF521)</f>
        <v>0</v>
      </c>
      <c r="AG521" s="1998">
        <f>IF(Construction!$F$31=Construction!$R$22,Oeko!CT521,Oeko!FG521)</f>
        <v>0</v>
      </c>
      <c r="AH521" s="1979">
        <f>IF(Construction!$F$31=Construction!$R$22,Oeko!CU521,Oeko!FH521)</f>
        <v>0.12401207842708649</v>
      </c>
      <c r="AI521" s="1979">
        <f>IF(Construction!$F$31=Construction!$R$22,Oeko!CV521,Oeko!FI521)</f>
        <v>0.12470893225537552</v>
      </c>
      <c r="AJ521" s="1979">
        <f>IF(Construction!$F$31=Construction!$R$22,Oeko!CW521,Oeko!FJ521)</f>
        <v>0.12551687872295703</v>
      </c>
      <c r="AK521" s="1979">
        <f>IF(Construction!$F$31=Construction!$R$22,Oeko!CX521,Oeko!FK521)</f>
        <v>0.12644601716067574</v>
      </c>
      <c r="AL521" s="1979">
        <f>IF(Construction!$F$31=Construction!$R$22,Oeko!CY521,Oeko!FL521)</f>
        <v>0.1275872415461346</v>
      </c>
      <c r="AM521" s="1998">
        <f>IF(Construction!$F$31=Construction!$R$22,Oeko!CZ521,Oeko!FM521)</f>
        <v>0</v>
      </c>
      <c r="AN521" s="1998">
        <f>IF(Construction!$F$31=Construction!$R$22,Oeko!DA521,Oeko!FN521)</f>
        <v>0</v>
      </c>
      <c r="AO521" s="1998">
        <f>IF(Construction!$F$31=Construction!$R$22,Oeko!DB521,Oeko!FO521)</f>
        <v>0</v>
      </c>
      <c r="AP521" s="1998">
        <f>IF(Construction!$F$31=Construction!$R$22,Oeko!DC521,Oeko!FP521)</f>
        <v>0</v>
      </c>
      <c r="AQ521" s="1998">
        <f>IF(Construction!$F$31=Construction!$R$22,Oeko!DD521,Oeko!FQ521)</f>
        <v>0</v>
      </c>
      <c r="AR521" s="1979">
        <f>IF(Construction!$F$31=Construction!$R$22,Oeko!DE521,Oeko!FR521)</f>
        <v>0.9721955687581878</v>
      </c>
      <c r="AS521" s="1979">
        <f>IF(Construction!$F$31=Construction!$R$22,Oeko!DF521,Oeko!FS521)</f>
        <v>0.97780444749943185</v>
      </c>
      <c r="AT521" s="1979">
        <f>IF(Construction!$F$31=Construction!$R$22,Oeko!DG521,Oeko!FT521)</f>
        <v>0.98430749531536699</v>
      </c>
      <c r="AU521" s="1979">
        <f>IF(Construction!$F$31=Construction!$R$22,Oeko!DH521,Oeko!FU521)</f>
        <v>0.99178600030369224</v>
      </c>
      <c r="AV521" s="1979">
        <f>IF(Construction!$F$31=Construction!$R$22,Oeko!DI521,Oeko!FV521)</f>
        <v>1.0009715553437006</v>
      </c>
      <c r="AW521" s="1998">
        <f>IF(Construction!$F$31=Construction!$R$22,Oeko!DJ521,Oeko!FW521)</f>
        <v>0.97111805444714239</v>
      </c>
      <c r="AX521" s="1998">
        <f>IF(Construction!$F$31=Construction!$R$22,Oeko!DK521,Oeko!FX521)</f>
        <v>0.97671581586178902</v>
      </c>
      <c r="AY521" s="1998">
        <f>IF(Construction!$F$31=Construction!$R$22,Oeko!DL521,Oeko!FY521)</f>
        <v>0.98320597402369836</v>
      </c>
      <c r="AZ521" s="1998">
        <f>IF(Construction!$F$31=Construction!$R$22,Oeko!DM521,Oeko!FZ521)</f>
        <v>0.99066965590989398</v>
      </c>
      <c r="BA521" s="1998">
        <f>IF(Construction!$F$31=Construction!$R$22,Oeko!DN521,Oeko!GA521)</f>
        <v>0.9998370043135909</v>
      </c>
      <c r="BB521" s="1979">
        <f>IF(Construction!$F$31=Construction!$R$22,Oeko!DO521,Oeko!GB521)</f>
        <v>0.99598171712621564</v>
      </c>
      <c r="BC521" s="1979">
        <f>IF(Construction!$F$31=Construction!$R$22,Oeko!DP521,Oeko!GC521)</f>
        <v>0.99709983927621193</v>
      </c>
      <c r="BD521" s="1979">
        <f>IF(Construction!$F$31=Construction!$R$22,Oeko!DQ521,Oeko!GD521)</f>
        <v>0.99839606937930481</v>
      </c>
      <c r="BE521" s="1979">
        <f>IF(Construction!$F$31=Construction!$R$22,Oeko!DR521,Oeko!GE521)</f>
        <v>0.99990998698062716</v>
      </c>
      <c r="BF521" s="1979">
        <f>IF(Construction!$F$31=Construction!$R$22,Oeko!DS521,Oeko!GF521)</f>
        <v>1.0017900153744261</v>
      </c>
      <c r="BG521" s="1998">
        <f>IF(Construction!$F$31=Construction!$R$22,Oeko!DT521,Oeko!GG521)</f>
        <v>0.99452355253732438</v>
      </c>
      <c r="BH521" s="1998">
        <f>IF(Construction!$F$31=Construction!$R$22,Oeko!DU521,Oeko!GH521)</f>
        <v>0.995637557310041</v>
      </c>
      <c r="BI521" s="1998">
        <f>IF(Construction!$F$31=Construction!$R$22,Oeko!DV521,Oeko!GI521)</f>
        <v>0.99692901417044721</v>
      </c>
      <c r="BJ521" s="1998">
        <f>IF(Construction!$F$31=Construction!$R$22,Oeko!DW521,Oeko!GJ521)</f>
        <v>0.99843735691580715</v>
      </c>
      <c r="BK521" s="2026">
        <f>IF(Construction!$F$31=Construction!$R$22,Oeko!DX521,Oeko!GK521)</f>
        <v>1.0003104622858618</v>
      </c>
      <c r="BN521" s="2022"/>
      <c r="BO521" s="2">
        <v>20</v>
      </c>
      <c r="BP521" s="2" t="str">
        <f>CONCATENATE($U$8," ",GV$14)</f>
        <v xml:space="preserve">Proportion de fenêtres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Proportion de fenêtres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Proportion de fenêtres </v>
      </c>
      <c r="D522" s="1979">
        <f>IF(Construction!$F$31=Construction!$R$22,Oeko!BQ522,Oeko!ED522)</f>
        <v>0</v>
      </c>
      <c r="E522" s="1979">
        <f>IF(Construction!$F$31=Construction!$R$22,Oeko!BR522,Oeko!EE522)</f>
        <v>0</v>
      </c>
      <c r="F522" s="1979">
        <f>IF(Construction!$F$31=Construction!$R$22,Oeko!BS522,Oeko!EF522)</f>
        <v>0</v>
      </c>
      <c r="G522" s="1979">
        <f>IF(Construction!$F$31=Construction!$R$22,Oeko!BT522,Oeko!EG522)</f>
        <v>0</v>
      </c>
      <c r="H522" s="1979">
        <f>IF(Construction!$F$31=Construction!$R$22,Oeko!BU522,Oeko!EH522)</f>
        <v>0</v>
      </c>
      <c r="I522" s="1998">
        <f>IF(Construction!$F$31=Construction!$R$22,Oeko!BV522,Oeko!EI522)</f>
        <v>0</v>
      </c>
      <c r="J522" s="1998">
        <f>IF(Construction!$F$31=Construction!$R$22,Oeko!BW522,Oeko!EJ522)</f>
        <v>0</v>
      </c>
      <c r="K522" s="1998">
        <f>IF(Construction!$F$31=Construction!$R$22,Oeko!BX522,Oeko!EK522)</f>
        <v>0</v>
      </c>
      <c r="L522" s="1998">
        <f>IF(Construction!$F$31=Construction!$R$22,Oeko!BY522,Oeko!EL522)</f>
        <v>0</v>
      </c>
      <c r="M522" s="1998">
        <f>IF(Construction!$F$31=Construction!$R$22,Oeko!BZ522,Oeko!EM522)</f>
        <v>0</v>
      </c>
      <c r="N522" s="1979">
        <f>IF(Construction!$F$31=Construction!$R$22,Oeko!CA522,Oeko!EN522)</f>
        <v>0</v>
      </c>
      <c r="O522" s="1979">
        <f>IF(Construction!$F$31=Construction!$R$22,Oeko!CB522,Oeko!EO522)</f>
        <v>0</v>
      </c>
      <c r="P522" s="1979">
        <f>IF(Construction!$F$31=Construction!$R$22,Oeko!CC522,Oeko!EP522)</f>
        <v>0</v>
      </c>
      <c r="Q522" s="1979">
        <f>IF(Construction!$F$31=Construction!$R$22,Oeko!CD522,Oeko!EQ522)</f>
        <v>0</v>
      </c>
      <c r="R522" s="1979">
        <f>IF(Construction!$F$31=Construction!$R$22,Oeko!CE522,Oeko!ER522)</f>
        <v>0</v>
      </c>
      <c r="S522" s="1998">
        <f>IF(Construction!$F$31=Construction!$R$22,Oeko!CF522,Oeko!ES522)</f>
        <v>0</v>
      </c>
      <c r="T522" s="1998">
        <f>IF(Construction!$F$31=Construction!$R$22,Oeko!CG522,Oeko!ET522)</f>
        <v>0</v>
      </c>
      <c r="U522" s="1998">
        <f>IF(Construction!$F$31=Construction!$R$22,Oeko!CH522,Oeko!EU522)</f>
        <v>0</v>
      </c>
      <c r="V522" s="1998">
        <f>IF(Construction!$F$31=Construction!$R$22,Oeko!CI522,Oeko!EV522)</f>
        <v>0</v>
      </c>
      <c r="W522" s="1998">
        <f>IF(Construction!$F$31=Construction!$R$22,Oeko!CJ522,Oeko!EW522)</f>
        <v>0</v>
      </c>
      <c r="X522" s="1979">
        <f>IF(Construction!$F$31=Construction!$R$22,Oeko!CK522,Oeko!EX522)</f>
        <v>0</v>
      </c>
      <c r="Y522" s="1979">
        <f>IF(Construction!$F$31=Construction!$R$22,Oeko!CL522,Oeko!EY522)</f>
        <v>0</v>
      </c>
      <c r="Z522" s="1979">
        <f>IF(Construction!$F$31=Construction!$R$22,Oeko!CM522,Oeko!EZ522)</f>
        <v>0</v>
      </c>
      <c r="AA522" s="1979">
        <f>IF(Construction!$F$31=Construction!$R$22,Oeko!CN522,Oeko!FA522)</f>
        <v>0</v>
      </c>
      <c r="AB522" s="1979">
        <f>IF(Construction!$F$31=Construction!$R$22,Oeko!CO522,Oeko!FB522)</f>
        <v>0</v>
      </c>
      <c r="AC522" s="1998">
        <f>IF(Construction!$F$31=Construction!$R$22,Oeko!CP522,Oeko!FC522)</f>
        <v>0</v>
      </c>
      <c r="AD522" s="1998">
        <f>IF(Construction!$F$31=Construction!$R$22,Oeko!CQ522,Oeko!FD522)</f>
        <v>0</v>
      </c>
      <c r="AE522" s="1998">
        <f>IF(Construction!$F$31=Construction!$R$22,Oeko!CR522,Oeko!FE522)</f>
        <v>0</v>
      </c>
      <c r="AF522" s="1998">
        <f>IF(Construction!$F$31=Construction!$R$22,Oeko!CS522,Oeko!FF522)</f>
        <v>0</v>
      </c>
      <c r="AG522" s="1998">
        <f>IF(Construction!$F$31=Construction!$R$22,Oeko!CT522,Oeko!FG522)</f>
        <v>0</v>
      </c>
      <c r="AH522" s="1979">
        <f>IF(Construction!$F$31=Construction!$R$22,Oeko!CU522,Oeko!FH522)</f>
        <v>0.12207335316766271</v>
      </c>
      <c r="AI522" s="1979">
        <f>IF(Construction!$F$31=Construction!$R$22,Oeko!CV522,Oeko!FI522)</f>
        <v>0.12277020699595176</v>
      </c>
      <c r="AJ522" s="1979">
        <f>IF(Construction!$F$31=Construction!$R$22,Oeko!CW522,Oeko!FJ522)</f>
        <v>0.12357815346353325</v>
      </c>
      <c r="AK522" s="1979">
        <f>IF(Construction!$F$31=Construction!$R$22,Oeko!CX522,Oeko!FK522)</f>
        <v>0.12450729190125197</v>
      </c>
      <c r="AL522" s="1979">
        <f>IF(Construction!$F$31=Construction!$R$22,Oeko!CY522,Oeko!FL522)</f>
        <v>0.12564851628671081</v>
      </c>
      <c r="AM522" s="1998">
        <f>IF(Construction!$F$31=Construction!$R$22,Oeko!CZ522,Oeko!FM522)</f>
        <v>0</v>
      </c>
      <c r="AN522" s="1998">
        <f>IF(Construction!$F$31=Construction!$R$22,Oeko!DA522,Oeko!FN522)</f>
        <v>0</v>
      </c>
      <c r="AO522" s="1998">
        <f>IF(Construction!$F$31=Construction!$R$22,Oeko!DB522,Oeko!FO522)</f>
        <v>0</v>
      </c>
      <c r="AP522" s="1998">
        <f>IF(Construction!$F$31=Construction!$R$22,Oeko!DC522,Oeko!FP522)</f>
        <v>0</v>
      </c>
      <c r="AQ522" s="1998">
        <f>IF(Construction!$F$31=Construction!$R$22,Oeko!DD522,Oeko!FQ522)</f>
        <v>0</v>
      </c>
      <c r="AR522" s="1979">
        <f>IF(Construction!$F$31=Construction!$R$22,Oeko!DE522,Oeko!FR522)</f>
        <v>0.96524446094773475</v>
      </c>
      <c r="AS522" s="1979">
        <f>IF(Construction!$F$31=Construction!$R$22,Oeko!DF522,Oeko!FS522)</f>
        <v>0.97085333968897891</v>
      </c>
      <c r="AT522" s="1979">
        <f>IF(Construction!$F$31=Construction!$R$22,Oeko!DG522,Oeko!FT522)</f>
        <v>0.97735638750491405</v>
      </c>
      <c r="AU522" s="1979">
        <f>IF(Construction!$F$31=Construction!$R$22,Oeko!DH522,Oeko!FU522)</f>
        <v>0.9848348924932393</v>
      </c>
      <c r="AV522" s="1979">
        <f>IF(Construction!$F$31=Construction!$R$22,Oeko!DI522,Oeko!FV522)</f>
        <v>0.9940204475332477</v>
      </c>
      <c r="AW522" s="1998">
        <f>IF(Construction!$F$31=Construction!$R$22,Oeko!DJ522,Oeko!FW522)</f>
        <v>0.96389756805892768</v>
      </c>
      <c r="AX522" s="1998">
        <f>IF(Construction!$F$31=Construction!$R$22,Oeko!DK522,Oeko!FX522)</f>
        <v>0.96949532947357453</v>
      </c>
      <c r="AY522" s="1998">
        <f>IF(Construction!$F$31=Construction!$R$22,Oeko!DL522,Oeko!FY522)</f>
        <v>0.97598548763548387</v>
      </c>
      <c r="AZ522" s="1998">
        <f>IF(Construction!$F$31=Construction!$R$22,Oeko!DM522,Oeko!FZ522)</f>
        <v>0.98344916952167971</v>
      </c>
      <c r="BA522" s="1998">
        <f>IF(Construction!$F$31=Construction!$R$22,Oeko!DN522,Oeko!GA522)</f>
        <v>0.99261651792537642</v>
      </c>
      <c r="BB522" s="1979">
        <f>IF(Construction!$F$31=Construction!$R$22,Oeko!DO522,Oeko!GB522)</f>
        <v>0.99517975181586793</v>
      </c>
      <c r="BC522" s="1979">
        <f>IF(Construction!$F$31=Construction!$R$22,Oeko!DP522,Oeko!GC522)</f>
        <v>0.99629787396586422</v>
      </c>
      <c r="BD522" s="1979">
        <f>IF(Construction!$F$31=Construction!$R$22,Oeko!DQ522,Oeko!GD522)</f>
        <v>0.99759410406895732</v>
      </c>
      <c r="BE522" s="1979">
        <f>IF(Construction!$F$31=Construction!$R$22,Oeko!DR522,Oeko!GE522)</f>
        <v>0.99910802167027968</v>
      </c>
      <c r="BF522" s="1979">
        <f>IF(Construction!$F$31=Construction!$R$22,Oeko!DS522,Oeko!GF522)</f>
        <v>1.0009880500640786</v>
      </c>
      <c r="BG522" s="1998">
        <f>IF(Construction!$F$31=Construction!$R$22,Oeko!DT522,Oeko!GG522)</f>
        <v>0.99298805962254777</v>
      </c>
      <c r="BH522" s="1998">
        <f>IF(Construction!$F$31=Construction!$R$22,Oeko!DU522,Oeko!GH522)</f>
        <v>0.99410206439526461</v>
      </c>
      <c r="BI522" s="1998">
        <f>IF(Construction!$F$31=Construction!$R$22,Oeko!DV522,Oeko!GI522)</f>
        <v>0.99539352125567082</v>
      </c>
      <c r="BJ522" s="1998">
        <f>IF(Construction!$F$31=Construction!$R$22,Oeko!DW522,Oeko!GJ522)</f>
        <v>0.99690186400103076</v>
      </c>
      <c r="BK522" s="2026">
        <f>IF(Construction!$F$31=Construction!$R$22,Oeko!DX522,Oeko!GK522)</f>
        <v>0.99877496937108556</v>
      </c>
      <c r="BN522" s="2022"/>
      <c r="BO522" s="2">
        <v>21</v>
      </c>
      <c r="BP522" s="2" t="str">
        <f>CONCATENATE($U$8," ",GV$15)</f>
        <v xml:space="preserve">Proportion de fenêtres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Proportion de fenêtres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Proportion de fenêtres </v>
      </c>
      <c r="D523" s="1979">
        <f>IF(Construction!$F$31=Construction!$R$22,Oeko!BQ523,Oeko!ED523)</f>
        <v>0</v>
      </c>
      <c r="E523" s="1979">
        <f>IF(Construction!$F$31=Construction!$R$22,Oeko!BR523,Oeko!EE523)</f>
        <v>0</v>
      </c>
      <c r="F523" s="1979">
        <f>IF(Construction!$F$31=Construction!$R$22,Oeko!BS523,Oeko!EF523)</f>
        <v>0</v>
      </c>
      <c r="G523" s="1979">
        <f>IF(Construction!$F$31=Construction!$R$22,Oeko!BT523,Oeko!EG523)</f>
        <v>0</v>
      </c>
      <c r="H523" s="1979">
        <f>IF(Construction!$F$31=Construction!$R$22,Oeko!BU523,Oeko!EH523)</f>
        <v>0</v>
      </c>
      <c r="I523" s="1998">
        <f>IF(Construction!$F$31=Construction!$R$22,Oeko!BV523,Oeko!EI523)</f>
        <v>0</v>
      </c>
      <c r="J523" s="1998">
        <f>IF(Construction!$F$31=Construction!$R$22,Oeko!BW523,Oeko!EJ523)</f>
        <v>0</v>
      </c>
      <c r="K523" s="1998">
        <f>IF(Construction!$F$31=Construction!$R$22,Oeko!BX523,Oeko!EK523)</f>
        <v>0</v>
      </c>
      <c r="L523" s="1998">
        <f>IF(Construction!$F$31=Construction!$R$22,Oeko!BY523,Oeko!EL523)</f>
        <v>0</v>
      </c>
      <c r="M523" s="1998">
        <f>IF(Construction!$F$31=Construction!$R$22,Oeko!BZ523,Oeko!EM523)</f>
        <v>0</v>
      </c>
      <c r="N523" s="1979">
        <f>IF(Construction!$F$31=Construction!$R$22,Oeko!CA523,Oeko!EN523)</f>
        <v>0</v>
      </c>
      <c r="O523" s="1979">
        <f>IF(Construction!$F$31=Construction!$R$22,Oeko!CB523,Oeko!EO523)</f>
        <v>0</v>
      </c>
      <c r="P523" s="1979">
        <f>IF(Construction!$F$31=Construction!$R$22,Oeko!CC523,Oeko!EP523)</f>
        <v>0</v>
      </c>
      <c r="Q523" s="1979">
        <f>IF(Construction!$F$31=Construction!$R$22,Oeko!CD523,Oeko!EQ523)</f>
        <v>0</v>
      </c>
      <c r="R523" s="1979">
        <f>IF(Construction!$F$31=Construction!$R$22,Oeko!CE523,Oeko!ER523)</f>
        <v>0</v>
      </c>
      <c r="S523" s="1998">
        <f>IF(Construction!$F$31=Construction!$R$22,Oeko!CF523,Oeko!ES523)</f>
        <v>0</v>
      </c>
      <c r="T523" s="1998">
        <f>IF(Construction!$F$31=Construction!$R$22,Oeko!CG523,Oeko!ET523)</f>
        <v>0</v>
      </c>
      <c r="U523" s="1998">
        <f>IF(Construction!$F$31=Construction!$R$22,Oeko!CH523,Oeko!EU523)</f>
        <v>0</v>
      </c>
      <c r="V523" s="1998">
        <f>IF(Construction!$F$31=Construction!$R$22,Oeko!CI523,Oeko!EV523)</f>
        <v>0</v>
      </c>
      <c r="W523" s="1998">
        <f>IF(Construction!$F$31=Construction!$R$22,Oeko!CJ523,Oeko!EW523)</f>
        <v>0</v>
      </c>
      <c r="X523" s="1979">
        <f>IF(Construction!$F$31=Construction!$R$22,Oeko!CK523,Oeko!EX523)</f>
        <v>0</v>
      </c>
      <c r="Y523" s="1979">
        <f>IF(Construction!$F$31=Construction!$R$22,Oeko!CL523,Oeko!EY523)</f>
        <v>0</v>
      </c>
      <c r="Z523" s="1979">
        <f>IF(Construction!$F$31=Construction!$R$22,Oeko!CM523,Oeko!EZ523)</f>
        <v>0</v>
      </c>
      <c r="AA523" s="1979">
        <f>IF(Construction!$F$31=Construction!$R$22,Oeko!CN523,Oeko!FA523)</f>
        <v>0</v>
      </c>
      <c r="AB523" s="1979">
        <f>IF(Construction!$F$31=Construction!$R$22,Oeko!CO523,Oeko!FB523)</f>
        <v>0</v>
      </c>
      <c r="AC523" s="1998">
        <f>IF(Construction!$F$31=Construction!$R$22,Oeko!CP523,Oeko!FC523)</f>
        <v>0</v>
      </c>
      <c r="AD523" s="1998">
        <f>IF(Construction!$F$31=Construction!$R$22,Oeko!CQ523,Oeko!FD523)</f>
        <v>0</v>
      </c>
      <c r="AE523" s="1998">
        <f>IF(Construction!$F$31=Construction!$R$22,Oeko!CR523,Oeko!FE523)</f>
        <v>0</v>
      </c>
      <c r="AF523" s="1998">
        <f>IF(Construction!$F$31=Construction!$R$22,Oeko!CS523,Oeko!FF523)</f>
        <v>0</v>
      </c>
      <c r="AG523" s="1998">
        <f>IF(Construction!$F$31=Construction!$R$22,Oeko!CT523,Oeko!FG523)</f>
        <v>0</v>
      </c>
      <c r="AH523" s="1979">
        <f>IF(Construction!$F$31=Construction!$R$22,Oeko!CU523,Oeko!FH523)</f>
        <v>0.12013462790823895</v>
      </c>
      <c r="AI523" s="1979">
        <f>IF(Construction!$F$31=Construction!$R$22,Oeko!CV523,Oeko!FI523)</f>
        <v>0.12083148173652798</v>
      </c>
      <c r="AJ523" s="1979">
        <f>IF(Construction!$F$31=Construction!$R$22,Oeko!CW523,Oeko!FJ523)</f>
        <v>0.1216394282041095</v>
      </c>
      <c r="AK523" s="1979">
        <f>IF(Construction!$F$31=Construction!$R$22,Oeko!CX523,Oeko!FK523)</f>
        <v>0.12256856664182821</v>
      </c>
      <c r="AL523" s="1979">
        <f>IF(Construction!$F$31=Construction!$R$22,Oeko!CY523,Oeko!FL523)</f>
        <v>0.12370979102728706</v>
      </c>
      <c r="AM523" s="1998">
        <f>IF(Construction!$F$31=Construction!$R$22,Oeko!CZ523,Oeko!FM523)</f>
        <v>0</v>
      </c>
      <c r="AN523" s="1998">
        <f>IF(Construction!$F$31=Construction!$R$22,Oeko!DA523,Oeko!FN523)</f>
        <v>0</v>
      </c>
      <c r="AO523" s="1998">
        <f>IF(Construction!$F$31=Construction!$R$22,Oeko!DB523,Oeko!FO523)</f>
        <v>0</v>
      </c>
      <c r="AP523" s="1998">
        <f>IF(Construction!$F$31=Construction!$R$22,Oeko!DC523,Oeko!FP523)</f>
        <v>0</v>
      </c>
      <c r="AQ523" s="1998">
        <f>IF(Construction!$F$31=Construction!$R$22,Oeko!DD523,Oeko!FQ523)</f>
        <v>0</v>
      </c>
      <c r="AR523" s="1979">
        <f>IF(Construction!$F$31=Construction!$R$22,Oeko!DE523,Oeko!FR523)</f>
        <v>0.9582933531372817</v>
      </c>
      <c r="AS523" s="1979">
        <f>IF(Construction!$F$31=Construction!$R$22,Oeko!DF523,Oeko!FS523)</f>
        <v>0.96390223187852575</v>
      </c>
      <c r="AT523" s="1979">
        <f>IF(Construction!$F$31=Construction!$R$22,Oeko!DG523,Oeko!FT523)</f>
        <v>0.97040527969446089</v>
      </c>
      <c r="AU523" s="1979">
        <f>IF(Construction!$F$31=Construction!$R$22,Oeko!DH523,Oeko!FU523)</f>
        <v>0.97788378468278636</v>
      </c>
      <c r="AV523" s="1979">
        <f>IF(Construction!$F$31=Construction!$R$22,Oeko!DI523,Oeko!FV523)</f>
        <v>0.98706933972279476</v>
      </c>
      <c r="AW523" s="1998">
        <f>IF(Construction!$F$31=Construction!$R$22,Oeko!DJ523,Oeko!FW523)</f>
        <v>0.9566770816707133</v>
      </c>
      <c r="AX523" s="1998">
        <f>IF(Construction!$F$31=Construction!$R$22,Oeko!DK523,Oeko!FX523)</f>
        <v>0.96227484308536015</v>
      </c>
      <c r="AY523" s="1998">
        <f>IF(Construction!$F$31=Construction!$R$22,Oeko!DL523,Oeko!FY523)</f>
        <v>0.96876500124726939</v>
      </c>
      <c r="AZ523" s="1998">
        <f>IF(Construction!$F$31=Construction!$R$22,Oeko!DM523,Oeko!FZ523)</f>
        <v>0.976228683133465</v>
      </c>
      <c r="BA523" s="1998">
        <f>IF(Construction!$F$31=Construction!$R$22,Oeko!DN523,Oeko!GA523)</f>
        <v>0.98539603153716193</v>
      </c>
      <c r="BB523" s="1979">
        <f>IF(Construction!$F$31=Construction!$R$22,Oeko!DO523,Oeko!GB523)</f>
        <v>0.99437778650552044</v>
      </c>
      <c r="BC523" s="1979">
        <f>IF(Construction!$F$31=Construction!$R$22,Oeko!DP523,Oeko!GC523)</f>
        <v>0.99549590865551696</v>
      </c>
      <c r="BD523" s="1979">
        <f>IF(Construction!$F$31=Construction!$R$22,Oeko!DQ523,Oeko!GD523)</f>
        <v>0.99679213875860984</v>
      </c>
      <c r="BE523" s="1979">
        <f>IF(Construction!$F$31=Construction!$R$22,Oeko!DR523,Oeko!GE523)</f>
        <v>0.99830605635993219</v>
      </c>
      <c r="BF523" s="1979">
        <f>IF(Construction!$F$31=Construction!$R$22,Oeko!DS523,Oeko!GF523)</f>
        <v>1.0001860847537312</v>
      </c>
      <c r="BG523" s="1998">
        <f>IF(Construction!$F$31=Construction!$R$22,Oeko!DT523,Oeko!GG523)</f>
        <v>0.99145256670777138</v>
      </c>
      <c r="BH523" s="1998">
        <f>IF(Construction!$F$31=Construction!$R$22,Oeko!DU523,Oeko!GH523)</f>
        <v>0.99256657148048844</v>
      </c>
      <c r="BI523" s="1998">
        <f>IF(Construction!$F$31=Construction!$R$22,Oeko!DV523,Oeko!GI523)</f>
        <v>0.99385802834089454</v>
      </c>
      <c r="BJ523" s="1998">
        <f>IF(Construction!$F$31=Construction!$R$22,Oeko!DW523,Oeko!GJ523)</f>
        <v>0.99536637108625436</v>
      </c>
      <c r="BK523" s="2026">
        <f>IF(Construction!$F$31=Construction!$R$22,Oeko!DX523,Oeko!GK523)</f>
        <v>0.99723947645630917</v>
      </c>
      <c r="BN523" s="2022"/>
      <c r="BO523" s="2">
        <v>22</v>
      </c>
      <c r="BP523" s="2" t="str">
        <f>CONCATENATE($U$8," ",GV$16)</f>
        <v xml:space="preserve">Proportion de fenêtres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Proportion de fenêtres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Proportion de fenêtres </v>
      </c>
      <c r="D524" s="1979">
        <f>IF(Construction!$F$31=Construction!$R$22,Oeko!BQ524,Oeko!ED524)</f>
        <v>0</v>
      </c>
      <c r="E524" s="1979">
        <f>IF(Construction!$F$31=Construction!$R$22,Oeko!BR524,Oeko!EE524)</f>
        <v>0</v>
      </c>
      <c r="F524" s="1979">
        <f>IF(Construction!$F$31=Construction!$R$22,Oeko!BS524,Oeko!EF524)</f>
        <v>0</v>
      </c>
      <c r="G524" s="1979">
        <f>IF(Construction!$F$31=Construction!$R$22,Oeko!BT524,Oeko!EG524)</f>
        <v>0</v>
      </c>
      <c r="H524" s="1979">
        <f>IF(Construction!$F$31=Construction!$R$22,Oeko!BU524,Oeko!EH524)</f>
        <v>0</v>
      </c>
      <c r="I524" s="1998">
        <f>IF(Construction!$F$31=Construction!$R$22,Oeko!BV524,Oeko!EI524)</f>
        <v>0</v>
      </c>
      <c r="J524" s="1998">
        <f>IF(Construction!$F$31=Construction!$R$22,Oeko!BW524,Oeko!EJ524)</f>
        <v>0</v>
      </c>
      <c r="K524" s="1998">
        <f>IF(Construction!$F$31=Construction!$R$22,Oeko!BX524,Oeko!EK524)</f>
        <v>0</v>
      </c>
      <c r="L524" s="1998">
        <f>IF(Construction!$F$31=Construction!$R$22,Oeko!BY524,Oeko!EL524)</f>
        <v>0</v>
      </c>
      <c r="M524" s="1998">
        <f>IF(Construction!$F$31=Construction!$R$22,Oeko!BZ524,Oeko!EM524)</f>
        <v>0</v>
      </c>
      <c r="N524" s="1979">
        <f>IF(Construction!$F$31=Construction!$R$22,Oeko!CA524,Oeko!EN524)</f>
        <v>0</v>
      </c>
      <c r="O524" s="1979">
        <f>IF(Construction!$F$31=Construction!$R$22,Oeko!CB524,Oeko!EO524)</f>
        <v>0</v>
      </c>
      <c r="P524" s="1979">
        <f>IF(Construction!$F$31=Construction!$R$22,Oeko!CC524,Oeko!EP524)</f>
        <v>0</v>
      </c>
      <c r="Q524" s="1979">
        <f>IF(Construction!$F$31=Construction!$R$22,Oeko!CD524,Oeko!EQ524)</f>
        <v>0</v>
      </c>
      <c r="R524" s="1979">
        <f>IF(Construction!$F$31=Construction!$R$22,Oeko!CE524,Oeko!ER524)</f>
        <v>0</v>
      </c>
      <c r="S524" s="1998">
        <f>IF(Construction!$F$31=Construction!$R$22,Oeko!CF524,Oeko!ES524)</f>
        <v>0</v>
      </c>
      <c r="T524" s="1998">
        <f>IF(Construction!$F$31=Construction!$R$22,Oeko!CG524,Oeko!ET524)</f>
        <v>0</v>
      </c>
      <c r="U524" s="1998">
        <f>IF(Construction!$F$31=Construction!$R$22,Oeko!CH524,Oeko!EU524)</f>
        <v>0</v>
      </c>
      <c r="V524" s="1998">
        <f>IF(Construction!$F$31=Construction!$R$22,Oeko!CI524,Oeko!EV524)</f>
        <v>0</v>
      </c>
      <c r="W524" s="1998">
        <f>IF(Construction!$F$31=Construction!$R$22,Oeko!CJ524,Oeko!EW524)</f>
        <v>0</v>
      </c>
      <c r="X524" s="1979">
        <f>IF(Construction!$F$31=Construction!$R$22,Oeko!CK524,Oeko!EX524)</f>
        <v>0</v>
      </c>
      <c r="Y524" s="1979">
        <f>IF(Construction!$F$31=Construction!$R$22,Oeko!CL524,Oeko!EY524)</f>
        <v>0</v>
      </c>
      <c r="Z524" s="1979">
        <f>IF(Construction!$F$31=Construction!$R$22,Oeko!CM524,Oeko!EZ524)</f>
        <v>0</v>
      </c>
      <c r="AA524" s="1979">
        <f>IF(Construction!$F$31=Construction!$R$22,Oeko!CN524,Oeko!FA524)</f>
        <v>0</v>
      </c>
      <c r="AB524" s="1979">
        <f>IF(Construction!$F$31=Construction!$R$22,Oeko!CO524,Oeko!FB524)</f>
        <v>0</v>
      </c>
      <c r="AC524" s="1998">
        <f>IF(Construction!$F$31=Construction!$R$22,Oeko!CP524,Oeko!FC524)</f>
        <v>0</v>
      </c>
      <c r="AD524" s="1998">
        <f>IF(Construction!$F$31=Construction!$R$22,Oeko!CQ524,Oeko!FD524)</f>
        <v>0</v>
      </c>
      <c r="AE524" s="1998">
        <f>IF(Construction!$F$31=Construction!$R$22,Oeko!CR524,Oeko!FE524)</f>
        <v>0</v>
      </c>
      <c r="AF524" s="1998">
        <f>IF(Construction!$F$31=Construction!$R$22,Oeko!CS524,Oeko!FF524)</f>
        <v>0</v>
      </c>
      <c r="AG524" s="1998">
        <f>IF(Construction!$F$31=Construction!$R$22,Oeko!CT524,Oeko!FG524)</f>
        <v>0</v>
      </c>
      <c r="AH524" s="1979">
        <f>IF(Construction!$F$31=Construction!$R$22,Oeko!CU524,Oeko!FH524)</f>
        <v>0.11819590264881517</v>
      </c>
      <c r="AI524" s="1979">
        <f>IF(Construction!$F$31=Construction!$R$22,Oeko!CV524,Oeko!FI524)</f>
        <v>0.11889275647710422</v>
      </c>
      <c r="AJ524" s="1979">
        <f>IF(Construction!$F$31=Construction!$R$22,Oeko!CW524,Oeko!FJ524)</f>
        <v>0.11970070294468572</v>
      </c>
      <c r="AK524" s="1979">
        <f>IF(Construction!$F$31=Construction!$R$22,Oeko!CX524,Oeko!FK524)</f>
        <v>0.12062984138240443</v>
      </c>
      <c r="AL524" s="1979">
        <f>IF(Construction!$F$31=Construction!$R$22,Oeko!CY524,Oeko!FL524)</f>
        <v>0.12177106576786328</v>
      </c>
      <c r="AM524" s="1998">
        <f>IF(Construction!$F$31=Construction!$R$22,Oeko!CZ524,Oeko!FM524)</f>
        <v>0</v>
      </c>
      <c r="AN524" s="1998">
        <f>IF(Construction!$F$31=Construction!$R$22,Oeko!DA524,Oeko!FN524)</f>
        <v>0</v>
      </c>
      <c r="AO524" s="1998">
        <f>IF(Construction!$F$31=Construction!$R$22,Oeko!DB524,Oeko!FO524)</f>
        <v>0</v>
      </c>
      <c r="AP524" s="1998">
        <f>IF(Construction!$F$31=Construction!$R$22,Oeko!DC524,Oeko!FP524)</f>
        <v>0</v>
      </c>
      <c r="AQ524" s="1998">
        <f>IF(Construction!$F$31=Construction!$R$22,Oeko!DD524,Oeko!FQ524)</f>
        <v>0</v>
      </c>
      <c r="AR524" s="1979">
        <f>IF(Construction!$F$31=Construction!$R$22,Oeko!DE524,Oeko!FR524)</f>
        <v>0.95134224532682865</v>
      </c>
      <c r="AS524" s="1979">
        <f>IF(Construction!$F$31=Construction!$R$22,Oeko!DF524,Oeko!FS524)</f>
        <v>0.9569511240680727</v>
      </c>
      <c r="AT524" s="1979">
        <f>IF(Construction!$F$31=Construction!$R$22,Oeko!DG524,Oeko!FT524)</f>
        <v>0.96345417188400773</v>
      </c>
      <c r="AU524" s="1979">
        <f>IF(Construction!$F$31=Construction!$R$22,Oeko!DH524,Oeko!FU524)</f>
        <v>0.9709326768723332</v>
      </c>
      <c r="AV524" s="1979">
        <f>IF(Construction!$F$31=Construction!$R$22,Oeko!DI524,Oeko!FV524)</f>
        <v>0.9801182319123416</v>
      </c>
      <c r="AW524" s="1998">
        <f>IF(Construction!$F$31=Construction!$R$22,Oeko!DJ524,Oeko!FW524)</f>
        <v>0.94945659528249871</v>
      </c>
      <c r="AX524" s="1998">
        <f>IF(Construction!$F$31=Construction!$R$22,Oeko!DK524,Oeko!FX524)</f>
        <v>0.95505435669714556</v>
      </c>
      <c r="AY524" s="1998">
        <f>IF(Construction!$F$31=Construction!$R$22,Oeko!DL524,Oeko!FY524)</f>
        <v>0.96154451485905501</v>
      </c>
      <c r="AZ524" s="1998">
        <f>IF(Construction!$F$31=Construction!$R$22,Oeko!DM524,Oeko!FZ524)</f>
        <v>0.96900819674525063</v>
      </c>
      <c r="BA524" s="1998">
        <f>IF(Construction!$F$31=Construction!$R$22,Oeko!DN524,Oeko!GA524)</f>
        <v>0.97817554514894745</v>
      </c>
      <c r="BB524" s="1979">
        <f>IF(Construction!$F$31=Construction!$R$22,Oeko!DO524,Oeko!GB524)</f>
        <v>0.99357582119517296</v>
      </c>
      <c r="BC524" s="1979">
        <f>IF(Construction!$F$31=Construction!$R$22,Oeko!DP524,Oeko!GC524)</f>
        <v>0.99469394334516925</v>
      </c>
      <c r="BD524" s="1979">
        <f>IF(Construction!$F$31=Construction!$R$22,Oeko!DQ524,Oeko!GD524)</f>
        <v>0.99599017344826235</v>
      </c>
      <c r="BE524" s="1979">
        <f>IF(Construction!$F$31=Construction!$R$22,Oeko!DR524,Oeko!GE524)</f>
        <v>0.99750409104958448</v>
      </c>
      <c r="BF524" s="1979">
        <f>IF(Construction!$F$31=Construction!$R$22,Oeko!DS524,Oeko!GF524)</f>
        <v>0.99938411944338379</v>
      </c>
      <c r="BG524" s="1998">
        <f>IF(Construction!$F$31=Construction!$R$22,Oeko!DT524,Oeko!GG524)</f>
        <v>0.98991707379299498</v>
      </c>
      <c r="BH524" s="1998">
        <f>IF(Construction!$F$31=Construction!$R$22,Oeko!DU524,Oeko!GH524)</f>
        <v>0.99103107856571204</v>
      </c>
      <c r="BI524" s="1998">
        <f>IF(Construction!$F$31=Construction!$R$22,Oeko!DV524,Oeko!GI524)</f>
        <v>0.99232253542611815</v>
      </c>
      <c r="BJ524" s="1998">
        <f>IF(Construction!$F$31=Construction!$R$22,Oeko!DW524,Oeko!GJ524)</f>
        <v>0.99383087817147808</v>
      </c>
      <c r="BK524" s="2026">
        <f>IF(Construction!$F$31=Construction!$R$22,Oeko!DX524,Oeko!GK524)</f>
        <v>0.99570398354153278</v>
      </c>
      <c r="BN524" s="2022"/>
      <c r="BO524" s="2">
        <v>23</v>
      </c>
      <c r="BP524" s="2" t="str">
        <f>CONCATENATE($U$8," ",GV$17)</f>
        <v xml:space="preserve">Proportion de fenêtres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Proportion de fenêtres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IF(Construction!$F$31=Construction!$R$22,Oeko!BQ525,Oeko!ED525)</f>
        <v>0</v>
      </c>
      <c r="E525" s="1979">
        <f>IF(Construction!$F$31=Construction!$R$22,Oeko!BR525,Oeko!EE525)</f>
        <v>0</v>
      </c>
      <c r="F525" s="1979">
        <f>IF(Construction!$F$31=Construction!$R$22,Oeko!BS525,Oeko!EF525)</f>
        <v>0</v>
      </c>
      <c r="G525" s="1979">
        <f>IF(Construction!$F$31=Construction!$R$22,Oeko!BT525,Oeko!EG525)</f>
        <v>0</v>
      </c>
      <c r="H525" s="1979">
        <f>IF(Construction!$F$31=Construction!$R$22,Oeko!BU525,Oeko!EH525)</f>
        <v>0</v>
      </c>
      <c r="I525" s="1998">
        <f>IF(Construction!$F$31=Construction!$R$22,Oeko!BV525,Oeko!EI525)</f>
        <v>1</v>
      </c>
      <c r="J525" s="1998">
        <f>IF(Construction!$F$31=Construction!$R$22,Oeko!BW525,Oeko!EJ525)</f>
        <v>1</v>
      </c>
      <c r="K525" s="1998">
        <f>IF(Construction!$F$31=Construction!$R$22,Oeko!BX525,Oeko!EK525)</f>
        <v>1</v>
      </c>
      <c r="L525" s="1998">
        <f>IF(Construction!$F$31=Construction!$R$22,Oeko!BY525,Oeko!EL525)</f>
        <v>1</v>
      </c>
      <c r="M525" s="1998">
        <f>IF(Construction!$F$31=Construction!$R$22,Oeko!BZ525,Oeko!EM525)</f>
        <v>1</v>
      </c>
      <c r="N525" s="1979">
        <f>IF(Construction!$F$31=Construction!$R$22,Oeko!CA525,Oeko!EN525)</f>
        <v>1.0000000000000002</v>
      </c>
      <c r="O525" s="1979">
        <f>IF(Construction!$F$31=Construction!$R$22,Oeko!CB525,Oeko!EO525)</f>
        <v>1.0000000000000002</v>
      </c>
      <c r="P525" s="1979">
        <f>IF(Construction!$F$31=Construction!$R$22,Oeko!CC525,Oeko!EP525)</f>
        <v>1.0000000000000002</v>
      </c>
      <c r="Q525" s="1979">
        <f>IF(Construction!$F$31=Construction!$R$22,Oeko!CD525,Oeko!EQ525)</f>
        <v>1.0000000000000002</v>
      </c>
      <c r="R525" s="1979">
        <f>IF(Construction!$F$31=Construction!$R$22,Oeko!CE525,Oeko!ER525)</f>
        <v>1.0000000000000002</v>
      </c>
      <c r="S525" s="1998">
        <f>IF(Construction!$F$31=Construction!$R$22,Oeko!CF525,Oeko!ES525)</f>
        <v>1</v>
      </c>
      <c r="T525" s="1998">
        <f>IF(Construction!$F$31=Construction!$R$22,Oeko!CG525,Oeko!ET525)</f>
        <v>1</v>
      </c>
      <c r="U525" s="1998">
        <f>IF(Construction!$F$31=Construction!$R$22,Oeko!CH525,Oeko!EU525)</f>
        <v>1</v>
      </c>
      <c r="V525" s="1998">
        <f>IF(Construction!$F$31=Construction!$R$22,Oeko!CI525,Oeko!EV525)</f>
        <v>1</v>
      </c>
      <c r="W525" s="1998">
        <f>IF(Construction!$F$31=Construction!$R$22,Oeko!CJ525,Oeko!EW525)</f>
        <v>1</v>
      </c>
      <c r="X525" s="1979">
        <f>IF(Construction!$F$31=Construction!$R$22,Oeko!CK525,Oeko!EX525)</f>
        <v>1</v>
      </c>
      <c r="Y525" s="1979">
        <f>IF(Construction!$F$31=Construction!$R$22,Oeko!CL525,Oeko!EY525)</f>
        <v>1</v>
      </c>
      <c r="Z525" s="1979">
        <f>IF(Construction!$F$31=Construction!$R$22,Oeko!CM525,Oeko!EZ525)</f>
        <v>1</v>
      </c>
      <c r="AA525" s="1979">
        <f>IF(Construction!$F$31=Construction!$R$22,Oeko!CN525,Oeko!FA525)</f>
        <v>1</v>
      </c>
      <c r="AB525" s="1979">
        <f>IF(Construction!$F$31=Construction!$R$22,Oeko!CO525,Oeko!FB525)</f>
        <v>1</v>
      </c>
      <c r="AC525" s="1998">
        <f>IF(Construction!$F$31=Construction!$R$22,Oeko!CP525,Oeko!FC525)</f>
        <v>1</v>
      </c>
      <c r="AD525" s="1998">
        <f>IF(Construction!$F$31=Construction!$R$22,Oeko!CQ525,Oeko!FD525)</f>
        <v>1</v>
      </c>
      <c r="AE525" s="1998">
        <f>IF(Construction!$F$31=Construction!$R$22,Oeko!CR525,Oeko!FE525)</f>
        <v>1</v>
      </c>
      <c r="AF525" s="1998">
        <f>IF(Construction!$F$31=Construction!$R$22,Oeko!CS525,Oeko!FF525)</f>
        <v>1</v>
      </c>
      <c r="AG525" s="1998">
        <f>IF(Construction!$F$31=Construction!$R$22,Oeko!CT525,Oeko!FG525)</f>
        <v>1</v>
      </c>
      <c r="AH525" s="1979">
        <f>IF(Construction!$F$31=Construction!$R$22,Oeko!CU525,Oeko!FH525)</f>
        <v>1</v>
      </c>
      <c r="AI525" s="1979">
        <f>IF(Construction!$F$31=Construction!$R$22,Oeko!CV525,Oeko!FI525)</f>
        <v>1</v>
      </c>
      <c r="AJ525" s="1979">
        <f>IF(Construction!$F$31=Construction!$R$22,Oeko!CW525,Oeko!FJ525)</f>
        <v>1</v>
      </c>
      <c r="AK525" s="1979">
        <f>IF(Construction!$F$31=Construction!$R$22,Oeko!CX525,Oeko!FK525)</f>
        <v>1</v>
      </c>
      <c r="AL525" s="1979">
        <f>IF(Construction!$F$31=Construction!$R$22,Oeko!CY525,Oeko!FL525)</f>
        <v>1</v>
      </c>
      <c r="AM525" s="1998">
        <f>IF(Construction!$F$31=Construction!$R$22,Oeko!CZ525,Oeko!FM525)</f>
        <v>0.66666666666666663</v>
      </c>
      <c r="AN525" s="1998">
        <f>IF(Construction!$F$31=Construction!$R$22,Oeko!DA525,Oeko!FN525)</f>
        <v>0.66666666666666663</v>
      </c>
      <c r="AO525" s="1998">
        <f>IF(Construction!$F$31=Construction!$R$22,Oeko!DB525,Oeko!FO525)</f>
        <v>0.66666666666666663</v>
      </c>
      <c r="AP525" s="1998">
        <f>IF(Construction!$F$31=Construction!$R$22,Oeko!DC525,Oeko!FP525)</f>
        <v>0.66666666666666663</v>
      </c>
      <c r="AQ525" s="1998">
        <f>IF(Construction!$F$31=Construction!$R$22,Oeko!DD525,Oeko!FQ525)</f>
        <v>0.66666666666666663</v>
      </c>
      <c r="AR525" s="1979">
        <f>IF(Construction!$F$31=Construction!$R$22,Oeko!DE525,Oeko!FR525)</f>
        <v>8.1914540462959007</v>
      </c>
      <c r="AS525" s="1979">
        <f>IF(Construction!$F$31=Construction!$R$22,Oeko!DF525,Oeko!FS525)</f>
        <v>8.1914540462959007</v>
      </c>
      <c r="AT525" s="1979">
        <f>IF(Construction!$F$31=Construction!$R$22,Oeko!DG525,Oeko!FT525)</f>
        <v>8.1914540462959007</v>
      </c>
      <c r="AU525" s="1979">
        <f>IF(Construction!$F$31=Construction!$R$22,Oeko!DH525,Oeko!FU525)</f>
        <v>8.1914540462959007</v>
      </c>
      <c r="AV525" s="1979">
        <f>IF(Construction!$F$31=Construction!$R$22,Oeko!DI525,Oeko!FV525)</f>
        <v>8.1914540462959007</v>
      </c>
      <c r="AW525" s="1998">
        <f>IF(Construction!$F$31=Construction!$R$22,Oeko!DJ525,Oeko!FW525)</f>
        <v>8.1771999062029916</v>
      </c>
      <c r="AX525" s="1998">
        <f>IF(Construction!$F$31=Construction!$R$22,Oeko!DK525,Oeko!FX525)</f>
        <v>8.1771999062029916</v>
      </c>
      <c r="AY525" s="1998">
        <f>IF(Construction!$F$31=Construction!$R$22,Oeko!DL525,Oeko!FY525)</f>
        <v>8.1771999062029916</v>
      </c>
      <c r="AZ525" s="1998">
        <f>IF(Construction!$F$31=Construction!$R$22,Oeko!DM525,Oeko!FZ525)</f>
        <v>8.1771999062029916</v>
      </c>
      <c r="BA525" s="1998">
        <f>IF(Construction!$F$31=Construction!$R$22,Oeko!DN525,Oeko!GA525)</f>
        <v>8.1771999062029916</v>
      </c>
      <c r="BB525" s="1979">
        <f>IF(Construction!$F$31=Construction!$R$22,Oeko!DO525,Oeko!GB525)</f>
        <v>1</v>
      </c>
      <c r="BC525" s="1979">
        <f>IF(Construction!$F$31=Construction!$R$22,Oeko!DP525,Oeko!GC525)</f>
        <v>1</v>
      </c>
      <c r="BD525" s="1979">
        <f>IF(Construction!$F$31=Construction!$R$22,Oeko!DQ525,Oeko!GD525)</f>
        <v>1</v>
      </c>
      <c r="BE525" s="1979">
        <f>IF(Construction!$F$31=Construction!$R$22,Oeko!DR525,Oeko!GE525)</f>
        <v>1</v>
      </c>
      <c r="BF525" s="1979">
        <f>IF(Construction!$F$31=Construction!$R$22,Oeko!DS525,Oeko!GF525)</f>
        <v>1</v>
      </c>
      <c r="BG525" s="1998">
        <f>IF(Construction!$F$31=Construction!$R$22,Oeko!DT525,Oeko!GG525)</f>
        <v>1</v>
      </c>
      <c r="BH525" s="1998">
        <f>IF(Construction!$F$31=Construction!$R$22,Oeko!DU525,Oeko!GH525)</f>
        <v>1</v>
      </c>
      <c r="BI525" s="1998">
        <f>IF(Construction!$F$31=Construction!$R$22,Oeko!DV525,Oeko!GI525)</f>
        <v>1</v>
      </c>
      <c r="BJ525" s="1998">
        <f>IF(Construction!$F$31=Construction!$R$22,Oeko!DW525,Oeko!GJ525)</f>
        <v>1</v>
      </c>
      <c r="BK525" s="2026">
        <f>IF(Construction!$F$31=Construction!$R$22,Oeko!DX525,Oeko!GK525)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IF(Construction!$F$31=Construction!$R$22,Oeko!BQ526,Oeko!ED526)</f>
        <v>0</v>
      </c>
      <c r="E526" s="1979">
        <f>IF(Construction!$F$31=Construction!$R$22,Oeko!BR526,Oeko!EE526)</f>
        <v>0</v>
      </c>
      <c r="F526" s="1979">
        <f>IF(Construction!$F$31=Construction!$R$22,Oeko!BS526,Oeko!EF526)</f>
        <v>0</v>
      </c>
      <c r="G526" s="1979">
        <f>IF(Construction!$F$31=Construction!$R$22,Oeko!BT526,Oeko!EG526)</f>
        <v>0</v>
      </c>
      <c r="H526" s="1979">
        <f>IF(Construction!$F$31=Construction!$R$22,Oeko!BU526,Oeko!EH526)</f>
        <v>0</v>
      </c>
      <c r="I526" s="1998">
        <f>IF(Construction!$F$31=Construction!$R$22,Oeko!BV526,Oeko!EI526)</f>
        <v>1</v>
      </c>
      <c r="J526" s="1998">
        <f>IF(Construction!$F$31=Construction!$R$22,Oeko!BW526,Oeko!EJ526)</f>
        <v>1</v>
      </c>
      <c r="K526" s="1998">
        <f>IF(Construction!$F$31=Construction!$R$22,Oeko!BX526,Oeko!EK526)</f>
        <v>1</v>
      </c>
      <c r="L526" s="1998">
        <f>IF(Construction!$F$31=Construction!$R$22,Oeko!BY526,Oeko!EL526)</f>
        <v>1</v>
      </c>
      <c r="M526" s="1998">
        <f>IF(Construction!$F$31=Construction!$R$22,Oeko!BZ526,Oeko!EM526)</f>
        <v>1</v>
      </c>
      <c r="N526" s="1979">
        <f>IF(Construction!$F$31=Construction!$R$22,Oeko!CA526,Oeko!EN526)</f>
        <v>1</v>
      </c>
      <c r="O526" s="1979">
        <f>IF(Construction!$F$31=Construction!$R$22,Oeko!CB526,Oeko!EO526)</f>
        <v>1</v>
      </c>
      <c r="P526" s="1979">
        <f>IF(Construction!$F$31=Construction!$R$22,Oeko!CC526,Oeko!EP526)</f>
        <v>1</v>
      </c>
      <c r="Q526" s="1979">
        <f>IF(Construction!$F$31=Construction!$R$22,Oeko!CD526,Oeko!EQ526)</f>
        <v>1</v>
      </c>
      <c r="R526" s="1979">
        <f>IF(Construction!$F$31=Construction!$R$22,Oeko!CE526,Oeko!ER526)</f>
        <v>1</v>
      </c>
      <c r="S526" s="1998">
        <f>IF(Construction!$F$31=Construction!$R$22,Oeko!CF526,Oeko!ES526)</f>
        <v>1.0000000000000002</v>
      </c>
      <c r="T526" s="1998">
        <f>IF(Construction!$F$31=Construction!$R$22,Oeko!CG526,Oeko!ET526)</f>
        <v>1.0000000000000002</v>
      </c>
      <c r="U526" s="1998">
        <f>IF(Construction!$F$31=Construction!$R$22,Oeko!CH526,Oeko!EU526)</f>
        <v>1.0000000000000002</v>
      </c>
      <c r="V526" s="1998">
        <f>IF(Construction!$F$31=Construction!$R$22,Oeko!CI526,Oeko!EV526)</f>
        <v>1.0000000000000002</v>
      </c>
      <c r="W526" s="1998">
        <f>IF(Construction!$F$31=Construction!$R$22,Oeko!CJ526,Oeko!EW526)</f>
        <v>1.0000000000000002</v>
      </c>
      <c r="X526" s="1979">
        <f>IF(Construction!$F$31=Construction!$R$22,Oeko!CK526,Oeko!EX526)</f>
        <v>1</v>
      </c>
      <c r="Y526" s="1979">
        <f>IF(Construction!$F$31=Construction!$R$22,Oeko!CL526,Oeko!EY526)</f>
        <v>1</v>
      </c>
      <c r="Z526" s="1979">
        <f>IF(Construction!$F$31=Construction!$R$22,Oeko!CM526,Oeko!EZ526)</f>
        <v>1</v>
      </c>
      <c r="AA526" s="1979">
        <f>IF(Construction!$F$31=Construction!$R$22,Oeko!CN526,Oeko!FA526)</f>
        <v>1</v>
      </c>
      <c r="AB526" s="1979">
        <f>IF(Construction!$F$31=Construction!$R$22,Oeko!CO526,Oeko!FB526)</f>
        <v>1</v>
      </c>
      <c r="AC526" s="1998">
        <f>IF(Construction!$F$31=Construction!$R$22,Oeko!CP526,Oeko!FC526)</f>
        <v>1</v>
      </c>
      <c r="AD526" s="1998">
        <f>IF(Construction!$F$31=Construction!$R$22,Oeko!CQ526,Oeko!FD526)</f>
        <v>1</v>
      </c>
      <c r="AE526" s="1998">
        <f>IF(Construction!$F$31=Construction!$R$22,Oeko!CR526,Oeko!FE526)</f>
        <v>1</v>
      </c>
      <c r="AF526" s="1998">
        <f>IF(Construction!$F$31=Construction!$R$22,Oeko!CS526,Oeko!FF526)</f>
        <v>1</v>
      </c>
      <c r="AG526" s="1998">
        <f>IF(Construction!$F$31=Construction!$R$22,Oeko!CT526,Oeko!FG526)</f>
        <v>1</v>
      </c>
      <c r="AH526" s="1979">
        <f>IF(Construction!$F$31=Construction!$R$22,Oeko!CU526,Oeko!FH526)</f>
        <v>1</v>
      </c>
      <c r="AI526" s="1979">
        <f>IF(Construction!$F$31=Construction!$R$22,Oeko!CV526,Oeko!FI526)</f>
        <v>1</v>
      </c>
      <c r="AJ526" s="1979">
        <f>IF(Construction!$F$31=Construction!$R$22,Oeko!CW526,Oeko!FJ526)</f>
        <v>1</v>
      </c>
      <c r="AK526" s="1979">
        <f>IF(Construction!$F$31=Construction!$R$22,Oeko!CX526,Oeko!FK526)</f>
        <v>1</v>
      </c>
      <c r="AL526" s="1979">
        <f>IF(Construction!$F$31=Construction!$R$22,Oeko!CY526,Oeko!FL526)</f>
        <v>1</v>
      </c>
      <c r="AM526" s="1998">
        <f>IF(Construction!$F$31=Construction!$R$22,Oeko!CZ526,Oeko!FM526)</f>
        <v>0.66666666666666663</v>
      </c>
      <c r="AN526" s="1998">
        <f>IF(Construction!$F$31=Construction!$R$22,Oeko!DA526,Oeko!FN526)</f>
        <v>0.66666666666666663</v>
      </c>
      <c r="AO526" s="1998">
        <f>IF(Construction!$F$31=Construction!$R$22,Oeko!DB526,Oeko!FO526)</f>
        <v>0.66666666666666663</v>
      </c>
      <c r="AP526" s="1998">
        <f>IF(Construction!$F$31=Construction!$R$22,Oeko!DC526,Oeko!FP526)</f>
        <v>0.66666666666666663</v>
      </c>
      <c r="AQ526" s="1998">
        <f>IF(Construction!$F$31=Construction!$R$22,Oeko!DD526,Oeko!FQ526)</f>
        <v>0.66666666666666663</v>
      </c>
      <c r="AR526" s="1979">
        <f>IF(Construction!$F$31=Construction!$R$22,Oeko!DE526,Oeko!FR526)</f>
        <v>6.393590534721926</v>
      </c>
      <c r="AS526" s="1979">
        <f>IF(Construction!$F$31=Construction!$R$22,Oeko!DF526,Oeko!FS526)</f>
        <v>6.393590534721926</v>
      </c>
      <c r="AT526" s="1979">
        <f>IF(Construction!$F$31=Construction!$R$22,Oeko!DG526,Oeko!FT526)</f>
        <v>6.393590534721926</v>
      </c>
      <c r="AU526" s="1979">
        <f>IF(Construction!$F$31=Construction!$R$22,Oeko!DH526,Oeko!FU526)</f>
        <v>6.393590534721926</v>
      </c>
      <c r="AV526" s="1979">
        <f>IF(Construction!$F$31=Construction!$R$22,Oeko!DI526,Oeko!FV526)</f>
        <v>6.393590534721926</v>
      </c>
      <c r="AW526" s="1998">
        <f>IF(Construction!$F$31=Construction!$R$22,Oeko!DJ526,Oeko!FW526)</f>
        <v>6.3828999296522442</v>
      </c>
      <c r="AX526" s="1998">
        <f>IF(Construction!$F$31=Construction!$R$22,Oeko!DK526,Oeko!FX526)</f>
        <v>6.3828999296522442</v>
      </c>
      <c r="AY526" s="1998">
        <f>IF(Construction!$F$31=Construction!$R$22,Oeko!DL526,Oeko!FY526)</f>
        <v>6.3828999296522442</v>
      </c>
      <c r="AZ526" s="1998">
        <f>IF(Construction!$F$31=Construction!$R$22,Oeko!DM526,Oeko!FZ526)</f>
        <v>6.3828999296522442</v>
      </c>
      <c r="BA526" s="1998">
        <f>IF(Construction!$F$31=Construction!$R$22,Oeko!DN526,Oeko!GA526)</f>
        <v>6.3828999296522442</v>
      </c>
      <c r="BB526" s="1979">
        <f>IF(Construction!$F$31=Construction!$R$22,Oeko!DO526,Oeko!GB526)</f>
        <v>0.78115301620803501</v>
      </c>
      <c r="BC526" s="1979">
        <f>IF(Construction!$F$31=Construction!$R$22,Oeko!DP526,Oeko!GC526)</f>
        <v>0.78115301620803501</v>
      </c>
      <c r="BD526" s="1979">
        <f>IF(Construction!$F$31=Construction!$R$22,Oeko!DQ526,Oeko!GD526)</f>
        <v>0.78115301620803501</v>
      </c>
      <c r="BE526" s="1979">
        <f>IF(Construction!$F$31=Construction!$R$22,Oeko!DR526,Oeko!GE526)</f>
        <v>0.78115301620803501</v>
      </c>
      <c r="BF526" s="1979">
        <f>IF(Construction!$F$31=Construction!$R$22,Oeko!DS526,Oeko!GF526)</f>
        <v>0.78115301620803501</v>
      </c>
      <c r="BG526" s="1998">
        <f>IF(Construction!$F$31=Construction!$R$22,Oeko!DT526,Oeko!GG526)</f>
        <v>0.78195889917775152</v>
      </c>
      <c r="BH526" s="1998">
        <f>IF(Construction!$F$31=Construction!$R$22,Oeko!DU526,Oeko!GH526)</f>
        <v>0.78195889917775152</v>
      </c>
      <c r="BI526" s="1998">
        <f>IF(Construction!$F$31=Construction!$R$22,Oeko!DV526,Oeko!GI526)</f>
        <v>0.78195889917775152</v>
      </c>
      <c r="BJ526" s="1998">
        <f>IF(Construction!$F$31=Construction!$R$22,Oeko!DW526,Oeko!GJ526)</f>
        <v>0.78195889917775152</v>
      </c>
      <c r="BK526" s="2026">
        <f>IF(Construction!$F$31=Construction!$R$22,Oeko!DX526,Oeko!GK526)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IF(Construction!$F$31=Construction!$R$22,Oeko!BQ527,Oeko!ED527)</f>
        <v>0</v>
      </c>
      <c r="E527" s="1979">
        <f>IF(Construction!$F$31=Construction!$R$22,Oeko!BR527,Oeko!EE527)</f>
        <v>0</v>
      </c>
      <c r="F527" s="1979">
        <f>IF(Construction!$F$31=Construction!$R$22,Oeko!BS527,Oeko!EF527)</f>
        <v>0</v>
      </c>
      <c r="G527" s="1979">
        <f>IF(Construction!$F$31=Construction!$R$22,Oeko!BT527,Oeko!EG527)</f>
        <v>0</v>
      </c>
      <c r="H527" s="1979">
        <f>IF(Construction!$F$31=Construction!$R$22,Oeko!BU527,Oeko!EH527)</f>
        <v>0</v>
      </c>
      <c r="I527" s="1998">
        <f>IF(Construction!$F$31=Construction!$R$22,Oeko!BV527,Oeko!EI527)</f>
        <v>1</v>
      </c>
      <c r="J527" s="1998">
        <f>IF(Construction!$F$31=Construction!$R$22,Oeko!BW527,Oeko!EJ527)</f>
        <v>1</v>
      </c>
      <c r="K527" s="1998">
        <f>IF(Construction!$F$31=Construction!$R$22,Oeko!BX527,Oeko!EK527)</f>
        <v>1</v>
      </c>
      <c r="L527" s="1998">
        <f>IF(Construction!$F$31=Construction!$R$22,Oeko!BY527,Oeko!EL527)</f>
        <v>1</v>
      </c>
      <c r="M527" s="1998">
        <f>IF(Construction!$F$31=Construction!$R$22,Oeko!BZ527,Oeko!EM527)</f>
        <v>1</v>
      </c>
      <c r="N527" s="1979">
        <f>IF(Construction!$F$31=Construction!$R$22,Oeko!CA527,Oeko!EN527)</f>
        <v>1</v>
      </c>
      <c r="O527" s="1979">
        <f>IF(Construction!$F$31=Construction!$R$22,Oeko!CB527,Oeko!EO527)</f>
        <v>1</v>
      </c>
      <c r="P527" s="1979">
        <f>IF(Construction!$F$31=Construction!$R$22,Oeko!CC527,Oeko!EP527)</f>
        <v>1</v>
      </c>
      <c r="Q527" s="1979">
        <f>IF(Construction!$F$31=Construction!$R$22,Oeko!CD527,Oeko!EQ527)</f>
        <v>1</v>
      </c>
      <c r="R527" s="1979">
        <f>IF(Construction!$F$31=Construction!$R$22,Oeko!CE527,Oeko!ER527)</f>
        <v>1</v>
      </c>
      <c r="S527" s="1998">
        <f>IF(Construction!$F$31=Construction!$R$22,Oeko!CF527,Oeko!ES527)</f>
        <v>1</v>
      </c>
      <c r="T527" s="1998">
        <f>IF(Construction!$F$31=Construction!$R$22,Oeko!CG527,Oeko!ET527)</f>
        <v>1</v>
      </c>
      <c r="U527" s="1998">
        <f>IF(Construction!$F$31=Construction!$R$22,Oeko!CH527,Oeko!EU527)</f>
        <v>1</v>
      </c>
      <c r="V527" s="1998">
        <f>IF(Construction!$F$31=Construction!$R$22,Oeko!CI527,Oeko!EV527)</f>
        <v>1</v>
      </c>
      <c r="W527" s="1998">
        <f>IF(Construction!$F$31=Construction!$R$22,Oeko!CJ527,Oeko!EW527)</f>
        <v>1</v>
      </c>
      <c r="X527" s="1979">
        <f>IF(Construction!$F$31=Construction!$R$22,Oeko!CK527,Oeko!EX527)</f>
        <v>1</v>
      </c>
      <c r="Y527" s="1979">
        <f>IF(Construction!$F$31=Construction!$R$22,Oeko!CL527,Oeko!EY527)</f>
        <v>1</v>
      </c>
      <c r="Z527" s="1979">
        <f>IF(Construction!$F$31=Construction!$R$22,Oeko!CM527,Oeko!EZ527)</f>
        <v>1</v>
      </c>
      <c r="AA527" s="1979">
        <f>IF(Construction!$F$31=Construction!$R$22,Oeko!CN527,Oeko!FA527)</f>
        <v>1</v>
      </c>
      <c r="AB527" s="1979">
        <f>IF(Construction!$F$31=Construction!$R$22,Oeko!CO527,Oeko!FB527)</f>
        <v>1</v>
      </c>
      <c r="AC527" s="1998">
        <f>IF(Construction!$F$31=Construction!$R$22,Oeko!CP527,Oeko!FC527)</f>
        <v>1</v>
      </c>
      <c r="AD527" s="1998">
        <f>IF(Construction!$F$31=Construction!$R$22,Oeko!CQ527,Oeko!FD527)</f>
        <v>1</v>
      </c>
      <c r="AE527" s="1998">
        <f>IF(Construction!$F$31=Construction!$R$22,Oeko!CR527,Oeko!FE527)</f>
        <v>1</v>
      </c>
      <c r="AF527" s="1998">
        <f>IF(Construction!$F$31=Construction!$R$22,Oeko!CS527,Oeko!FF527)</f>
        <v>1</v>
      </c>
      <c r="AG527" s="1998">
        <f>IF(Construction!$F$31=Construction!$R$22,Oeko!CT527,Oeko!FG527)</f>
        <v>1</v>
      </c>
      <c r="AH527" s="1979">
        <f>IF(Construction!$F$31=Construction!$R$22,Oeko!CU527,Oeko!FH527)</f>
        <v>1</v>
      </c>
      <c r="AI527" s="1979">
        <f>IF(Construction!$F$31=Construction!$R$22,Oeko!CV527,Oeko!FI527)</f>
        <v>1</v>
      </c>
      <c r="AJ527" s="1979">
        <f>IF(Construction!$F$31=Construction!$R$22,Oeko!CW527,Oeko!FJ527)</f>
        <v>1</v>
      </c>
      <c r="AK527" s="1979">
        <f>IF(Construction!$F$31=Construction!$R$22,Oeko!CX527,Oeko!FK527)</f>
        <v>1</v>
      </c>
      <c r="AL527" s="1979">
        <f>IF(Construction!$F$31=Construction!$R$22,Oeko!CY527,Oeko!FL527)</f>
        <v>1</v>
      </c>
      <c r="AM527" s="1998">
        <f>IF(Construction!$F$31=Construction!$R$22,Oeko!CZ527,Oeko!FM527)</f>
        <v>1</v>
      </c>
      <c r="AN527" s="1998">
        <f>IF(Construction!$F$31=Construction!$R$22,Oeko!DA527,Oeko!FN527)</f>
        <v>1</v>
      </c>
      <c r="AO527" s="1998">
        <f>IF(Construction!$F$31=Construction!$R$22,Oeko!DB527,Oeko!FO527)</f>
        <v>1</v>
      </c>
      <c r="AP527" s="1998">
        <f>IF(Construction!$F$31=Construction!$R$22,Oeko!DC527,Oeko!FP527)</f>
        <v>1</v>
      </c>
      <c r="AQ527" s="1998">
        <f>IF(Construction!$F$31=Construction!$R$22,Oeko!DD527,Oeko!FQ527)</f>
        <v>1</v>
      </c>
      <c r="AR527" s="1979">
        <f>IF(Construction!$F$31=Construction!$R$22,Oeko!DE527,Oeko!FR527)</f>
        <v>1</v>
      </c>
      <c r="AS527" s="1979">
        <f>IF(Construction!$F$31=Construction!$R$22,Oeko!DF527,Oeko!FS527)</f>
        <v>1</v>
      </c>
      <c r="AT527" s="1979">
        <f>IF(Construction!$F$31=Construction!$R$22,Oeko!DG527,Oeko!FT527)</f>
        <v>1</v>
      </c>
      <c r="AU527" s="1979">
        <f>IF(Construction!$F$31=Construction!$R$22,Oeko!DH527,Oeko!FU527)</f>
        <v>1</v>
      </c>
      <c r="AV527" s="1979">
        <f>IF(Construction!$F$31=Construction!$R$22,Oeko!DI527,Oeko!FV527)</f>
        <v>1</v>
      </c>
      <c r="AW527" s="1998">
        <f>IF(Construction!$F$31=Construction!$R$22,Oeko!DJ527,Oeko!FW527)</f>
        <v>1</v>
      </c>
      <c r="AX527" s="1998">
        <f>IF(Construction!$F$31=Construction!$R$22,Oeko!DK527,Oeko!FX527)</f>
        <v>1</v>
      </c>
      <c r="AY527" s="1998">
        <f>IF(Construction!$F$31=Construction!$R$22,Oeko!DL527,Oeko!FY527)</f>
        <v>1</v>
      </c>
      <c r="AZ527" s="1998">
        <f>IF(Construction!$F$31=Construction!$R$22,Oeko!DM527,Oeko!FZ527)</f>
        <v>1</v>
      </c>
      <c r="BA527" s="1998">
        <f>IF(Construction!$F$31=Construction!$R$22,Oeko!DN527,Oeko!GA527)</f>
        <v>1</v>
      </c>
      <c r="BB527" s="1979">
        <f>IF(Construction!$F$31=Construction!$R$22,Oeko!DO527,Oeko!GB527)</f>
        <v>0.12461206483213953</v>
      </c>
      <c r="BC527" s="1979">
        <f>IF(Construction!$F$31=Construction!$R$22,Oeko!DP527,Oeko!GC527)</f>
        <v>0.12461206483213953</v>
      </c>
      <c r="BD527" s="1979">
        <f>IF(Construction!$F$31=Construction!$R$22,Oeko!DQ527,Oeko!GD527)</f>
        <v>0.12461206483213953</v>
      </c>
      <c r="BE527" s="1979">
        <f>IF(Construction!$F$31=Construction!$R$22,Oeko!DR527,Oeko!GE527)</f>
        <v>0.12461206483213953</v>
      </c>
      <c r="BF527" s="1979">
        <f>IF(Construction!$F$31=Construction!$R$22,Oeko!DS527,Oeko!GF527)</f>
        <v>0.12461206483213953</v>
      </c>
      <c r="BG527" s="1998">
        <f>IF(Construction!$F$31=Construction!$R$22,Oeko!DT527,Oeko!GG527)</f>
        <v>0.12783559671100567</v>
      </c>
      <c r="BH527" s="1998">
        <f>IF(Construction!$F$31=Construction!$R$22,Oeko!DU527,Oeko!GH527)</f>
        <v>0.12783559671100567</v>
      </c>
      <c r="BI527" s="1998">
        <f>IF(Construction!$F$31=Construction!$R$22,Oeko!DV527,Oeko!GI527)</f>
        <v>0.12783559671100567</v>
      </c>
      <c r="BJ527" s="1998">
        <f>IF(Construction!$F$31=Construction!$R$22,Oeko!DW527,Oeko!GJ527)</f>
        <v>0.12783559671100567</v>
      </c>
      <c r="BK527" s="2026">
        <f>IF(Construction!$F$31=Construction!$R$22,Oeko!DX527,Oeko!GK527)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IF(Construction!$F$31=Construction!$R$22,Oeko!BQ528,Oeko!ED528)</f>
        <v>0</v>
      </c>
      <c r="E528" s="1979">
        <f>IF(Construction!$F$31=Construction!$R$22,Oeko!BR528,Oeko!EE528)</f>
        <v>0</v>
      </c>
      <c r="F528" s="1979">
        <f>IF(Construction!$F$31=Construction!$R$22,Oeko!BS528,Oeko!EF528)</f>
        <v>0</v>
      </c>
      <c r="G528" s="1979">
        <f>IF(Construction!$F$31=Construction!$R$22,Oeko!BT528,Oeko!EG528)</f>
        <v>0</v>
      </c>
      <c r="H528" s="1979">
        <f>IF(Construction!$F$31=Construction!$R$22,Oeko!BU528,Oeko!EH528)</f>
        <v>0</v>
      </c>
      <c r="I528" s="1998">
        <f>IF(Construction!$F$31=Construction!$R$22,Oeko!BV528,Oeko!EI528)</f>
        <v>1</v>
      </c>
      <c r="J528" s="1998">
        <f>IF(Construction!$F$31=Construction!$R$22,Oeko!BW528,Oeko!EJ528)</f>
        <v>1</v>
      </c>
      <c r="K528" s="1998">
        <f>IF(Construction!$F$31=Construction!$R$22,Oeko!BX528,Oeko!EK528)</f>
        <v>1</v>
      </c>
      <c r="L528" s="1998">
        <f>IF(Construction!$F$31=Construction!$R$22,Oeko!BY528,Oeko!EL528)</f>
        <v>1</v>
      </c>
      <c r="M528" s="1998">
        <f>IF(Construction!$F$31=Construction!$R$22,Oeko!BZ528,Oeko!EM528)</f>
        <v>1</v>
      </c>
      <c r="N528" s="1979">
        <f>IF(Construction!$F$31=Construction!$R$22,Oeko!CA528,Oeko!EN528)</f>
        <v>1</v>
      </c>
      <c r="O528" s="1979">
        <f>IF(Construction!$F$31=Construction!$R$22,Oeko!CB528,Oeko!EO528)</f>
        <v>1</v>
      </c>
      <c r="P528" s="1979">
        <f>IF(Construction!$F$31=Construction!$R$22,Oeko!CC528,Oeko!EP528)</f>
        <v>1</v>
      </c>
      <c r="Q528" s="1979">
        <f>IF(Construction!$F$31=Construction!$R$22,Oeko!CD528,Oeko!EQ528)</f>
        <v>1</v>
      </c>
      <c r="R528" s="1979">
        <f>IF(Construction!$F$31=Construction!$R$22,Oeko!CE528,Oeko!ER528)</f>
        <v>1</v>
      </c>
      <c r="S528" s="1998">
        <f>IF(Construction!$F$31=Construction!$R$22,Oeko!CF528,Oeko!ES528)</f>
        <v>1</v>
      </c>
      <c r="T528" s="1998">
        <f>IF(Construction!$F$31=Construction!$R$22,Oeko!CG528,Oeko!ET528)</f>
        <v>1</v>
      </c>
      <c r="U528" s="1998">
        <f>IF(Construction!$F$31=Construction!$R$22,Oeko!CH528,Oeko!EU528)</f>
        <v>1</v>
      </c>
      <c r="V528" s="1998">
        <f>IF(Construction!$F$31=Construction!$R$22,Oeko!CI528,Oeko!EV528)</f>
        <v>1</v>
      </c>
      <c r="W528" s="1998">
        <f>IF(Construction!$F$31=Construction!$R$22,Oeko!CJ528,Oeko!EW528)</f>
        <v>1</v>
      </c>
      <c r="X528" s="1979">
        <f>IF(Construction!$F$31=Construction!$R$22,Oeko!CK528,Oeko!EX528)</f>
        <v>1</v>
      </c>
      <c r="Y528" s="1979">
        <f>IF(Construction!$F$31=Construction!$R$22,Oeko!CL528,Oeko!EY528)</f>
        <v>1</v>
      </c>
      <c r="Z528" s="1979">
        <f>IF(Construction!$F$31=Construction!$R$22,Oeko!CM528,Oeko!EZ528)</f>
        <v>1</v>
      </c>
      <c r="AA528" s="1979">
        <f>IF(Construction!$F$31=Construction!$R$22,Oeko!CN528,Oeko!FA528)</f>
        <v>1</v>
      </c>
      <c r="AB528" s="1979">
        <f>IF(Construction!$F$31=Construction!$R$22,Oeko!CO528,Oeko!FB528)</f>
        <v>1</v>
      </c>
      <c r="AC528" s="1998">
        <f>IF(Construction!$F$31=Construction!$R$22,Oeko!CP528,Oeko!FC528)</f>
        <v>1</v>
      </c>
      <c r="AD528" s="1998">
        <f>IF(Construction!$F$31=Construction!$R$22,Oeko!CQ528,Oeko!FD528)</f>
        <v>1</v>
      </c>
      <c r="AE528" s="1998">
        <f>IF(Construction!$F$31=Construction!$R$22,Oeko!CR528,Oeko!FE528)</f>
        <v>1</v>
      </c>
      <c r="AF528" s="1998">
        <f>IF(Construction!$F$31=Construction!$R$22,Oeko!CS528,Oeko!FF528)</f>
        <v>1</v>
      </c>
      <c r="AG528" s="1998">
        <f>IF(Construction!$F$31=Construction!$R$22,Oeko!CT528,Oeko!FG528)</f>
        <v>1</v>
      </c>
      <c r="AH528" s="1979">
        <f>IF(Construction!$F$31=Construction!$R$22,Oeko!CU528,Oeko!FH528)</f>
        <v>1</v>
      </c>
      <c r="AI528" s="1979">
        <f>IF(Construction!$F$31=Construction!$R$22,Oeko!CV528,Oeko!FI528)</f>
        <v>1</v>
      </c>
      <c r="AJ528" s="1979">
        <f>IF(Construction!$F$31=Construction!$R$22,Oeko!CW528,Oeko!FJ528)</f>
        <v>1</v>
      </c>
      <c r="AK528" s="1979">
        <f>IF(Construction!$F$31=Construction!$R$22,Oeko!CX528,Oeko!FK528)</f>
        <v>1</v>
      </c>
      <c r="AL528" s="1979">
        <f>IF(Construction!$F$31=Construction!$R$22,Oeko!CY528,Oeko!FL528)</f>
        <v>1</v>
      </c>
      <c r="AM528" s="1998">
        <f>IF(Construction!$F$31=Construction!$R$22,Oeko!CZ528,Oeko!FM528)</f>
        <v>1.1666666666666665</v>
      </c>
      <c r="AN528" s="1998">
        <f>IF(Construction!$F$31=Construction!$R$22,Oeko!DA528,Oeko!FN528)</f>
        <v>1.1666666666666665</v>
      </c>
      <c r="AO528" s="1998">
        <f>IF(Construction!$F$31=Construction!$R$22,Oeko!DB528,Oeko!FO528)</f>
        <v>1.1666666666666665</v>
      </c>
      <c r="AP528" s="1998">
        <f>IF(Construction!$F$31=Construction!$R$22,Oeko!DC528,Oeko!FP528)</f>
        <v>1.1666666666666665</v>
      </c>
      <c r="AQ528" s="1998">
        <f>IF(Construction!$F$31=Construction!$R$22,Oeko!DD528,Oeko!FQ528)</f>
        <v>1.1666666666666665</v>
      </c>
      <c r="AR528" s="1979">
        <f>IF(Construction!$F$31=Construction!$R$22,Oeko!DE528,Oeko!FR528)</f>
        <v>1</v>
      </c>
      <c r="AS528" s="1979">
        <f>IF(Construction!$F$31=Construction!$R$22,Oeko!DF528,Oeko!FS528)</f>
        <v>1</v>
      </c>
      <c r="AT528" s="1979">
        <f>IF(Construction!$F$31=Construction!$R$22,Oeko!DG528,Oeko!FT528)</f>
        <v>1</v>
      </c>
      <c r="AU528" s="1979">
        <f>IF(Construction!$F$31=Construction!$R$22,Oeko!DH528,Oeko!FU528)</f>
        <v>1</v>
      </c>
      <c r="AV528" s="1979">
        <f>IF(Construction!$F$31=Construction!$R$22,Oeko!DI528,Oeko!FV528)</f>
        <v>1</v>
      </c>
      <c r="AW528" s="1998">
        <f>IF(Construction!$F$31=Construction!$R$22,Oeko!DJ528,Oeko!FW528)</f>
        <v>1</v>
      </c>
      <c r="AX528" s="1998">
        <f>IF(Construction!$F$31=Construction!$R$22,Oeko!DK528,Oeko!FX528)</f>
        <v>1</v>
      </c>
      <c r="AY528" s="1998">
        <f>IF(Construction!$F$31=Construction!$R$22,Oeko!DL528,Oeko!FY528)</f>
        <v>1</v>
      </c>
      <c r="AZ528" s="1998">
        <f>IF(Construction!$F$31=Construction!$R$22,Oeko!DM528,Oeko!FZ528)</f>
        <v>1</v>
      </c>
      <c r="BA528" s="1998">
        <f>IF(Construction!$F$31=Construction!$R$22,Oeko!DN528,Oeko!GA528)</f>
        <v>1</v>
      </c>
      <c r="BB528" s="1979">
        <f>IF(Construction!$F$31=Construction!$R$22,Oeko!DO528,Oeko!GB528)</f>
        <v>0.12461206483213953</v>
      </c>
      <c r="BC528" s="1979">
        <f>IF(Construction!$F$31=Construction!$R$22,Oeko!DP528,Oeko!GC528)</f>
        <v>0.12461206483213953</v>
      </c>
      <c r="BD528" s="1979">
        <f>IF(Construction!$F$31=Construction!$R$22,Oeko!DQ528,Oeko!GD528)</f>
        <v>0.12461206483213953</v>
      </c>
      <c r="BE528" s="1979">
        <f>IF(Construction!$F$31=Construction!$R$22,Oeko!DR528,Oeko!GE528)</f>
        <v>0.12461206483213953</v>
      </c>
      <c r="BF528" s="1979">
        <f>IF(Construction!$F$31=Construction!$R$22,Oeko!DS528,Oeko!GF528)</f>
        <v>0.12461206483213953</v>
      </c>
      <c r="BG528" s="1998">
        <f>IF(Construction!$F$31=Construction!$R$22,Oeko!DT528,Oeko!GG528)</f>
        <v>0.12783559671100567</v>
      </c>
      <c r="BH528" s="1998">
        <f>IF(Construction!$F$31=Construction!$R$22,Oeko!DU528,Oeko!GH528)</f>
        <v>0.12783559671100567</v>
      </c>
      <c r="BI528" s="1998">
        <f>IF(Construction!$F$31=Construction!$R$22,Oeko!DV528,Oeko!GI528)</f>
        <v>0.12783559671100567</v>
      </c>
      <c r="BJ528" s="1998">
        <f>IF(Construction!$F$31=Construction!$R$22,Oeko!DW528,Oeko!GJ528)</f>
        <v>0.12783559671100567</v>
      </c>
      <c r="BK528" s="2026">
        <f>IF(Construction!$F$31=Construction!$R$22,Oeko!DX528,Oeko!GK528)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IF(Construction!$F$31=Construction!$R$22,Oeko!BQ529,Oeko!ED529)</f>
        <v>0</v>
      </c>
      <c r="E529" s="1979">
        <f>IF(Construction!$F$31=Construction!$R$22,Oeko!BR529,Oeko!EE529)</f>
        <v>0</v>
      </c>
      <c r="F529" s="1979">
        <f>IF(Construction!$F$31=Construction!$R$22,Oeko!BS529,Oeko!EF529)</f>
        <v>0</v>
      </c>
      <c r="G529" s="1979">
        <f>IF(Construction!$F$31=Construction!$R$22,Oeko!BT529,Oeko!EG529)</f>
        <v>0</v>
      </c>
      <c r="H529" s="1979">
        <f>IF(Construction!$F$31=Construction!$R$22,Oeko!BU529,Oeko!EH529)</f>
        <v>0</v>
      </c>
      <c r="I529" s="1998">
        <f>IF(Construction!$F$31=Construction!$R$22,Oeko!BV529,Oeko!EI529)</f>
        <v>1</v>
      </c>
      <c r="J529" s="1998">
        <f>IF(Construction!$F$31=Construction!$R$22,Oeko!BW529,Oeko!EJ529)</f>
        <v>1</v>
      </c>
      <c r="K529" s="1998">
        <f>IF(Construction!$F$31=Construction!$R$22,Oeko!BX529,Oeko!EK529)</f>
        <v>1</v>
      </c>
      <c r="L529" s="1998">
        <f>IF(Construction!$F$31=Construction!$R$22,Oeko!BY529,Oeko!EL529)</f>
        <v>1</v>
      </c>
      <c r="M529" s="1998">
        <f>IF(Construction!$F$31=Construction!$R$22,Oeko!BZ529,Oeko!EM529)</f>
        <v>1</v>
      </c>
      <c r="N529" s="1979">
        <f>IF(Construction!$F$31=Construction!$R$22,Oeko!CA529,Oeko!EN529)</f>
        <v>1</v>
      </c>
      <c r="O529" s="1979">
        <f>IF(Construction!$F$31=Construction!$R$22,Oeko!CB529,Oeko!EO529)</f>
        <v>1</v>
      </c>
      <c r="P529" s="1979">
        <f>IF(Construction!$F$31=Construction!$R$22,Oeko!CC529,Oeko!EP529)</f>
        <v>1</v>
      </c>
      <c r="Q529" s="1979">
        <f>IF(Construction!$F$31=Construction!$R$22,Oeko!CD529,Oeko!EQ529)</f>
        <v>1</v>
      </c>
      <c r="R529" s="1979">
        <f>IF(Construction!$F$31=Construction!$R$22,Oeko!CE529,Oeko!ER529)</f>
        <v>1</v>
      </c>
      <c r="S529" s="1998">
        <f>IF(Construction!$F$31=Construction!$R$22,Oeko!CF529,Oeko!ES529)</f>
        <v>1</v>
      </c>
      <c r="T529" s="1998">
        <f>IF(Construction!$F$31=Construction!$R$22,Oeko!CG529,Oeko!ET529)</f>
        <v>1</v>
      </c>
      <c r="U529" s="1998">
        <f>IF(Construction!$F$31=Construction!$R$22,Oeko!CH529,Oeko!EU529)</f>
        <v>1</v>
      </c>
      <c r="V529" s="1998">
        <f>IF(Construction!$F$31=Construction!$R$22,Oeko!CI529,Oeko!EV529)</f>
        <v>1</v>
      </c>
      <c r="W529" s="1998">
        <f>IF(Construction!$F$31=Construction!$R$22,Oeko!CJ529,Oeko!EW529)</f>
        <v>1</v>
      </c>
      <c r="X529" s="1979">
        <f>IF(Construction!$F$31=Construction!$R$22,Oeko!CK529,Oeko!EX529)</f>
        <v>1</v>
      </c>
      <c r="Y529" s="1979">
        <f>IF(Construction!$F$31=Construction!$R$22,Oeko!CL529,Oeko!EY529)</f>
        <v>1</v>
      </c>
      <c r="Z529" s="1979">
        <f>IF(Construction!$F$31=Construction!$R$22,Oeko!CM529,Oeko!EZ529)</f>
        <v>1</v>
      </c>
      <c r="AA529" s="1979">
        <f>IF(Construction!$F$31=Construction!$R$22,Oeko!CN529,Oeko!FA529)</f>
        <v>1</v>
      </c>
      <c r="AB529" s="1979">
        <f>IF(Construction!$F$31=Construction!$R$22,Oeko!CO529,Oeko!FB529)</f>
        <v>1</v>
      </c>
      <c r="AC529" s="1998">
        <f>IF(Construction!$F$31=Construction!$R$22,Oeko!CP529,Oeko!FC529)</f>
        <v>1</v>
      </c>
      <c r="AD529" s="1998">
        <f>IF(Construction!$F$31=Construction!$R$22,Oeko!CQ529,Oeko!FD529)</f>
        <v>1</v>
      </c>
      <c r="AE529" s="1998">
        <f>IF(Construction!$F$31=Construction!$R$22,Oeko!CR529,Oeko!FE529)</f>
        <v>1</v>
      </c>
      <c r="AF529" s="1998">
        <f>IF(Construction!$F$31=Construction!$R$22,Oeko!CS529,Oeko!FF529)</f>
        <v>1</v>
      </c>
      <c r="AG529" s="1998">
        <f>IF(Construction!$F$31=Construction!$R$22,Oeko!CT529,Oeko!FG529)</f>
        <v>1</v>
      </c>
      <c r="AH529" s="1979">
        <f>IF(Construction!$F$31=Construction!$R$22,Oeko!CU529,Oeko!FH529)</f>
        <v>1</v>
      </c>
      <c r="AI529" s="1979">
        <f>IF(Construction!$F$31=Construction!$R$22,Oeko!CV529,Oeko!FI529)</f>
        <v>1</v>
      </c>
      <c r="AJ529" s="1979">
        <f>IF(Construction!$F$31=Construction!$R$22,Oeko!CW529,Oeko!FJ529)</f>
        <v>1</v>
      </c>
      <c r="AK529" s="1979">
        <f>IF(Construction!$F$31=Construction!$R$22,Oeko!CX529,Oeko!FK529)</f>
        <v>1</v>
      </c>
      <c r="AL529" s="1979">
        <f>IF(Construction!$F$31=Construction!$R$22,Oeko!CY529,Oeko!FL529)</f>
        <v>1</v>
      </c>
      <c r="AM529" s="1998">
        <f>IF(Construction!$F$31=Construction!$R$22,Oeko!CZ529,Oeko!FM529)</f>
        <v>1.3333333333333333</v>
      </c>
      <c r="AN529" s="1998">
        <f>IF(Construction!$F$31=Construction!$R$22,Oeko!DA529,Oeko!FN529)</f>
        <v>1.3333333333333333</v>
      </c>
      <c r="AO529" s="1998">
        <f>IF(Construction!$F$31=Construction!$R$22,Oeko!DB529,Oeko!FO529)</f>
        <v>1.3333333333333333</v>
      </c>
      <c r="AP529" s="1998">
        <f>IF(Construction!$F$31=Construction!$R$22,Oeko!DC529,Oeko!FP529)</f>
        <v>1.3333333333333333</v>
      </c>
      <c r="AQ529" s="1998">
        <f>IF(Construction!$F$31=Construction!$R$22,Oeko!DD529,Oeko!FQ529)</f>
        <v>1.3333333333333333</v>
      </c>
      <c r="AR529" s="1979">
        <f>IF(Construction!$F$31=Construction!$R$22,Oeko!DE529,Oeko!FR529)</f>
        <v>1</v>
      </c>
      <c r="AS529" s="1979">
        <f>IF(Construction!$F$31=Construction!$R$22,Oeko!DF529,Oeko!FS529)</f>
        <v>1</v>
      </c>
      <c r="AT529" s="1979">
        <f>IF(Construction!$F$31=Construction!$R$22,Oeko!DG529,Oeko!FT529)</f>
        <v>1</v>
      </c>
      <c r="AU529" s="1979">
        <f>IF(Construction!$F$31=Construction!$R$22,Oeko!DH529,Oeko!FU529)</f>
        <v>1</v>
      </c>
      <c r="AV529" s="1979">
        <f>IF(Construction!$F$31=Construction!$R$22,Oeko!DI529,Oeko!FV529)</f>
        <v>1</v>
      </c>
      <c r="AW529" s="1998">
        <f>IF(Construction!$F$31=Construction!$R$22,Oeko!DJ529,Oeko!FW529)</f>
        <v>1</v>
      </c>
      <c r="AX529" s="1998">
        <f>IF(Construction!$F$31=Construction!$R$22,Oeko!DK529,Oeko!FX529)</f>
        <v>1</v>
      </c>
      <c r="AY529" s="1998">
        <f>IF(Construction!$F$31=Construction!$R$22,Oeko!DL529,Oeko!FY529)</f>
        <v>1</v>
      </c>
      <c r="AZ529" s="1998">
        <f>IF(Construction!$F$31=Construction!$R$22,Oeko!DM529,Oeko!FZ529)</f>
        <v>1</v>
      </c>
      <c r="BA529" s="1998">
        <f>IF(Construction!$F$31=Construction!$R$22,Oeko!DN529,Oeko!GA529)</f>
        <v>1</v>
      </c>
      <c r="BB529" s="1979">
        <f>IF(Construction!$F$31=Construction!$R$22,Oeko!DO529,Oeko!GB529)</f>
        <v>0.12461206483213953</v>
      </c>
      <c r="BC529" s="1979">
        <f>IF(Construction!$F$31=Construction!$R$22,Oeko!DP529,Oeko!GC529)</f>
        <v>0.12461206483213953</v>
      </c>
      <c r="BD529" s="1979">
        <f>IF(Construction!$F$31=Construction!$R$22,Oeko!DQ529,Oeko!GD529)</f>
        <v>0.12461206483213953</v>
      </c>
      <c r="BE529" s="1979">
        <f>IF(Construction!$F$31=Construction!$R$22,Oeko!DR529,Oeko!GE529)</f>
        <v>0.12461206483213953</v>
      </c>
      <c r="BF529" s="1979">
        <f>IF(Construction!$F$31=Construction!$R$22,Oeko!DS529,Oeko!GF529)</f>
        <v>0.12461206483213953</v>
      </c>
      <c r="BG529" s="1998">
        <f>IF(Construction!$F$31=Construction!$R$22,Oeko!DT529,Oeko!GG529)</f>
        <v>0.12783559671100567</v>
      </c>
      <c r="BH529" s="1998">
        <f>IF(Construction!$F$31=Construction!$R$22,Oeko!DU529,Oeko!GH529)</f>
        <v>0.12783559671100567</v>
      </c>
      <c r="BI529" s="1998">
        <f>IF(Construction!$F$31=Construction!$R$22,Oeko!DV529,Oeko!GI529)</f>
        <v>0.12783559671100567</v>
      </c>
      <c r="BJ529" s="1998">
        <f>IF(Construction!$F$31=Construction!$R$22,Oeko!DW529,Oeko!GJ529)</f>
        <v>0.12783559671100567</v>
      </c>
      <c r="BK529" s="2026">
        <f>IF(Construction!$F$31=Construction!$R$22,Oeko!DX529,Oeko!GK529)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Fondation superficielle</v>
      </c>
      <c r="D530" s="1979">
        <f>IF(Construction!$F$31=Construction!$R$22,Oeko!BQ530,Oeko!ED530)</f>
        <v>0</v>
      </c>
      <c r="E530" s="1979">
        <f>IF(Construction!$F$31=Construction!$R$22,Oeko!BR530,Oeko!EE530)</f>
        <v>0</v>
      </c>
      <c r="F530" s="1979">
        <f>IF(Construction!$F$31=Construction!$R$22,Oeko!BS530,Oeko!EF530)</f>
        <v>0</v>
      </c>
      <c r="G530" s="1979">
        <f>IF(Construction!$F$31=Construction!$R$22,Oeko!BT530,Oeko!EG530)</f>
        <v>0</v>
      </c>
      <c r="H530" s="1979">
        <f>IF(Construction!$F$31=Construction!$R$22,Oeko!BU530,Oeko!EH530)</f>
        <v>0</v>
      </c>
      <c r="I530" s="1998">
        <f>IF(Construction!$F$31=Construction!$R$22,Oeko!BV530,Oeko!EI530)</f>
        <v>1</v>
      </c>
      <c r="J530" s="1998">
        <f>IF(Construction!$F$31=Construction!$R$22,Oeko!BW530,Oeko!EJ530)</f>
        <v>1</v>
      </c>
      <c r="K530" s="1998">
        <f>IF(Construction!$F$31=Construction!$R$22,Oeko!BX530,Oeko!EK530)</f>
        <v>1</v>
      </c>
      <c r="L530" s="1998">
        <f>IF(Construction!$F$31=Construction!$R$22,Oeko!BY530,Oeko!EL530)</f>
        <v>1</v>
      </c>
      <c r="M530" s="1998">
        <f>IF(Construction!$F$31=Construction!$R$22,Oeko!BZ530,Oeko!EM530)</f>
        <v>1</v>
      </c>
      <c r="N530" s="1979">
        <f>IF(Construction!$F$31=Construction!$R$22,Oeko!CA530,Oeko!EN530)</f>
        <v>1</v>
      </c>
      <c r="O530" s="1979">
        <f>IF(Construction!$F$31=Construction!$R$22,Oeko!CB530,Oeko!EO530)</f>
        <v>1</v>
      </c>
      <c r="P530" s="1979">
        <f>IF(Construction!$F$31=Construction!$R$22,Oeko!CC530,Oeko!EP530)</f>
        <v>1</v>
      </c>
      <c r="Q530" s="1979">
        <f>IF(Construction!$F$31=Construction!$R$22,Oeko!CD530,Oeko!EQ530)</f>
        <v>1</v>
      </c>
      <c r="R530" s="1979">
        <f>IF(Construction!$F$31=Construction!$R$22,Oeko!CE530,Oeko!ER530)</f>
        <v>1</v>
      </c>
      <c r="S530" s="1998">
        <f>IF(Construction!$F$31=Construction!$R$22,Oeko!CF530,Oeko!ES530)</f>
        <v>1</v>
      </c>
      <c r="T530" s="1998">
        <f>IF(Construction!$F$31=Construction!$R$22,Oeko!CG530,Oeko!ET530)</f>
        <v>1</v>
      </c>
      <c r="U530" s="1998">
        <f>IF(Construction!$F$31=Construction!$R$22,Oeko!CH530,Oeko!EU530)</f>
        <v>1</v>
      </c>
      <c r="V530" s="1998">
        <f>IF(Construction!$F$31=Construction!$R$22,Oeko!CI530,Oeko!EV530)</f>
        <v>1</v>
      </c>
      <c r="W530" s="1998">
        <f>IF(Construction!$F$31=Construction!$R$22,Oeko!CJ530,Oeko!EW530)</f>
        <v>1</v>
      </c>
      <c r="X530" s="1979">
        <f>IF(Construction!$F$31=Construction!$R$22,Oeko!CK530,Oeko!EX530)</f>
        <v>1</v>
      </c>
      <c r="Y530" s="1979">
        <f>IF(Construction!$F$31=Construction!$R$22,Oeko!CL530,Oeko!EY530)</f>
        <v>1</v>
      </c>
      <c r="Z530" s="1979">
        <f>IF(Construction!$F$31=Construction!$R$22,Oeko!CM530,Oeko!EZ530)</f>
        <v>1</v>
      </c>
      <c r="AA530" s="1979">
        <f>IF(Construction!$F$31=Construction!$R$22,Oeko!CN530,Oeko!FA530)</f>
        <v>1</v>
      </c>
      <c r="AB530" s="1979">
        <f>IF(Construction!$F$31=Construction!$R$22,Oeko!CO530,Oeko!FB530)</f>
        <v>1</v>
      </c>
      <c r="AC530" s="1998">
        <f>IF(Construction!$F$31=Construction!$R$22,Oeko!CP530,Oeko!FC530)</f>
        <v>1</v>
      </c>
      <c r="AD530" s="1998">
        <f>IF(Construction!$F$31=Construction!$R$22,Oeko!CQ530,Oeko!FD530)</f>
        <v>1</v>
      </c>
      <c r="AE530" s="1998">
        <f>IF(Construction!$F$31=Construction!$R$22,Oeko!CR530,Oeko!FE530)</f>
        <v>1</v>
      </c>
      <c r="AF530" s="1998">
        <f>IF(Construction!$F$31=Construction!$R$22,Oeko!CS530,Oeko!FF530)</f>
        <v>1</v>
      </c>
      <c r="AG530" s="1998">
        <f>IF(Construction!$F$31=Construction!$R$22,Oeko!CT530,Oeko!FG530)</f>
        <v>1</v>
      </c>
      <c r="AH530" s="1979">
        <f>IF(Construction!$F$31=Construction!$R$22,Oeko!CU530,Oeko!FH530)</f>
        <v>1</v>
      </c>
      <c r="AI530" s="1979">
        <f>IF(Construction!$F$31=Construction!$R$22,Oeko!CV530,Oeko!FI530)</f>
        <v>1</v>
      </c>
      <c r="AJ530" s="1979">
        <f>IF(Construction!$F$31=Construction!$R$22,Oeko!CW530,Oeko!FJ530)</f>
        <v>1</v>
      </c>
      <c r="AK530" s="1979">
        <f>IF(Construction!$F$31=Construction!$R$22,Oeko!CX530,Oeko!FK530)</f>
        <v>1</v>
      </c>
      <c r="AL530" s="1979">
        <f>IF(Construction!$F$31=Construction!$R$22,Oeko!CY530,Oeko!FL530)</f>
        <v>1</v>
      </c>
      <c r="AM530" s="1998">
        <f>IF(Construction!$F$31=Construction!$R$22,Oeko!CZ530,Oeko!FM530)</f>
        <v>1</v>
      </c>
      <c r="AN530" s="1998">
        <f>IF(Construction!$F$31=Construction!$R$22,Oeko!DA530,Oeko!FN530)</f>
        <v>1</v>
      </c>
      <c r="AO530" s="1998">
        <f>IF(Construction!$F$31=Construction!$R$22,Oeko!DB530,Oeko!FO530)</f>
        <v>1</v>
      </c>
      <c r="AP530" s="1998">
        <f>IF(Construction!$F$31=Construction!$R$22,Oeko!DC530,Oeko!FP530)</f>
        <v>1</v>
      </c>
      <c r="AQ530" s="1998">
        <f>IF(Construction!$F$31=Construction!$R$22,Oeko!DD530,Oeko!FQ530)</f>
        <v>1</v>
      </c>
      <c r="AR530" s="1979">
        <f>IF(Construction!$F$31=Construction!$R$22,Oeko!DE530,Oeko!FR530)</f>
        <v>1</v>
      </c>
      <c r="AS530" s="1979">
        <f>IF(Construction!$F$31=Construction!$R$22,Oeko!DF530,Oeko!FS530)</f>
        <v>1</v>
      </c>
      <c r="AT530" s="1979">
        <f>IF(Construction!$F$31=Construction!$R$22,Oeko!DG530,Oeko!FT530)</f>
        <v>1</v>
      </c>
      <c r="AU530" s="1979">
        <f>IF(Construction!$F$31=Construction!$R$22,Oeko!DH530,Oeko!FU530)</f>
        <v>1</v>
      </c>
      <c r="AV530" s="1979">
        <f>IF(Construction!$F$31=Construction!$R$22,Oeko!DI530,Oeko!FV530)</f>
        <v>1</v>
      </c>
      <c r="AW530" s="1998">
        <f>IF(Construction!$F$31=Construction!$R$22,Oeko!DJ530,Oeko!FW530)</f>
        <v>1</v>
      </c>
      <c r="AX530" s="1998">
        <f>IF(Construction!$F$31=Construction!$R$22,Oeko!DK530,Oeko!FX530)</f>
        <v>1</v>
      </c>
      <c r="AY530" s="1998">
        <f>IF(Construction!$F$31=Construction!$R$22,Oeko!DL530,Oeko!FY530)</f>
        <v>1</v>
      </c>
      <c r="AZ530" s="1998">
        <f>IF(Construction!$F$31=Construction!$R$22,Oeko!DM530,Oeko!FZ530)</f>
        <v>1</v>
      </c>
      <c r="BA530" s="1998">
        <f>IF(Construction!$F$31=Construction!$R$22,Oeko!DN530,Oeko!GA530)</f>
        <v>1</v>
      </c>
      <c r="BB530" s="1979">
        <f>IF(Construction!$F$31=Construction!$R$22,Oeko!DO530,Oeko!GB530)</f>
        <v>1</v>
      </c>
      <c r="BC530" s="1979">
        <f>IF(Construction!$F$31=Construction!$R$22,Oeko!DP530,Oeko!GC530)</f>
        <v>1</v>
      </c>
      <c r="BD530" s="1979">
        <f>IF(Construction!$F$31=Construction!$R$22,Oeko!DQ530,Oeko!GD530)</f>
        <v>1</v>
      </c>
      <c r="BE530" s="1979">
        <f>IF(Construction!$F$31=Construction!$R$22,Oeko!DR530,Oeko!GE530)</f>
        <v>1</v>
      </c>
      <c r="BF530" s="1979">
        <f>IF(Construction!$F$31=Construction!$R$22,Oeko!DS530,Oeko!GF530)</f>
        <v>1</v>
      </c>
      <c r="BG530" s="1998">
        <f>IF(Construction!$F$31=Construction!$R$22,Oeko!DT530,Oeko!GG530)</f>
        <v>1</v>
      </c>
      <c r="BH530" s="1998">
        <f>IF(Construction!$F$31=Construction!$R$22,Oeko!DU530,Oeko!GH530)</f>
        <v>1</v>
      </c>
      <c r="BI530" s="1998">
        <f>IF(Construction!$F$31=Construction!$R$22,Oeko!DV530,Oeko!GI530)</f>
        <v>1</v>
      </c>
      <c r="BJ530" s="1998">
        <f>IF(Construction!$F$31=Construction!$R$22,Oeko!DW530,Oeko!GJ530)</f>
        <v>1</v>
      </c>
      <c r="BK530" s="2026">
        <f>IF(Construction!$F$31=Construction!$R$22,Oeko!DX530,Oeko!GK530)</f>
        <v>1</v>
      </c>
      <c r="BN530" s="2022"/>
      <c r="BO530" s="2">
        <v>29</v>
      </c>
      <c r="BP530" s="2" t="str">
        <f>$AD$13</f>
        <v>Fondation superficielle</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Fondation superficielle</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Micro-pieux</v>
      </c>
      <c r="D531" s="1979">
        <f>IF(Construction!$F$31=Construction!$R$22,Oeko!BQ531,Oeko!ED531)</f>
        <v>0</v>
      </c>
      <c r="E531" s="1979">
        <f>IF(Construction!$F$31=Construction!$R$22,Oeko!BR531,Oeko!EE531)</f>
        <v>0</v>
      </c>
      <c r="F531" s="1979">
        <f>IF(Construction!$F$31=Construction!$R$22,Oeko!BS531,Oeko!EF531)</f>
        <v>0</v>
      </c>
      <c r="G531" s="1979">
        <f>IF(Construction!$F$31=Construction!$R$22,Oeko!BT531,Oeko!EG531)</f>
        <v>0</v>
      </c>
      <c r="H531" s="1979">
        <f>IF(Construction!$F$31=Construction!$R$22,Oeko!BU531,Oeko!EH531)</f>
        <v>0</v>
      </c>
      <c r="I531" s="1998">
        <f>IF(Construction!$F$31=Construction!$R$22,Oeko!BV531,Oeko!EI531)</f>
        <v>1</v>
      </c>
      <c r="J531" s="1998">
        <f>IF(Construction!$F$31=Construction!$R$22,Oeko!BW531,Oeko!EJ531)</f>
        <v>1</v>
      </c>
      <c r="K531" s="1998">
        <f>IF(Construction!$F$31=Construction!$R$22,Oeko!BX531,Oeko!EK531)</f>
        <v>1</v>
      </c>
      <c r="L531" s="1998">
        <f>IF(Construction!$F$31=Construction!$R$22,Oeko!BY531,Oeko!EL531)</f>
        <v>1</v>
      </c>
      <c r="M531" s="1998">
        <f>IF(Construction!$F$31=Construction!$R$22,Oeko!BZ531,Oeko!EM531)</f>
        <v>1</v>
      </c>
      <c r="N531" s="1979">
        <f>IF(Construction!$F$31=Construction!$R$22,Oeko!CA531,Oeko!EN531)</f>
        <v>1</v>
      </c>
      <c r="O531" s="1979">
        <f>IF(Construction!$F$31=Construction!$R$22,Oeko!CB531,Oeko!EO531)</f>
        <v>1</v>
      </c>
      <c r="P531" s="1979">
        <f>IF(Construction!$F$31=Construction!$R$22,Oeko!CC531,Oeko!EP531)</f>
        <v>1</v>
      </c>
      <c r="Q531" s="1979">
        <f>IF(Construction!$F$31=Construction!$R$22,Oeko!CD531,Oeko!EQ531)</f>
        <v>1</v>
      </c>
      <c r="R531" s="1979">
        <f>IF(Construction!$F$31=Construction!$R$22,Oeko!CE531,Oeko!ER531)</f>
        <v>1</v>
      </c>
      <c r="S531" s="1998">
        <f>IF(Construction!$F$31=Construction!$R$22,Oeko!CF531,Oeko!ES531)</f>
        <v>1</v>
      </c>
      <c r="T531" s="1998">
        <f>IF(Construction!$F$31=Construction!$R$22,Oeko!CG531,Oeko!ET531)</f>
        <v>1</v>
      </c>
      <c r="U531" s="1998">
        <f>IF(Construction!$F$31=Construction!$R$22,Oeko!CH531,Oeko!EU531)</f>
        <v>1</v>
      </c>
      <c r="V531" s="1998">
        <f>IF(Construction!$F$31=Construction!$R$22,Oeko!CI531,Oeko!EV531)</f>
        <v>1</v>
      </c>
      <c r="W531" s="1998">
        <f>IF(Construction!$F$31=Construction!$R$22,Oeko!CJ531,Oeko!EW531)</f>
        <v>1</v>
      </c>
      <c r="X531" s="1979">
        <f>IF(Construction!$F$31=Construction!$R$22,Oeko!CK531,Oeko!EX531)</f>
        <v>1</v>
      </c>
      <c r="Y531" s="1979">
        <f>IF(Construction!$F$31=Construction!$R$22,Oeko!CL531,Oeko!EY531)</f>
        <v>1</v>
      </c>
      <c r="Z531" s="1979">
        <f>IF(Construction!$F$31=Construction!$R$22,Oeko!CM531,Oeko!EZ531)</f>
        <v>1</v>
      </c>
      <c r="AA531" s="1979">
        <f>IF(Construction!$F$31=Construction!$R$22,Oeko!CN531,Oeko!FA531)</f>
        <v>1</v>
      </c>
      <c r="AB531" s="1979">
        <f>IF(Construction!$F$31=Construction!$R$22,Oeko!CO531,Oeko!FB531)</f>
        <v>1</v>
      </c>
      <c r="AC531" s="1998">
        <f>IF(Construction!$F$31=Construction!$R$22,Oeko!CP531,Oeko!FC531)</f>
        <v>1</v>
      </c>
      <c r="AD531" s="1998">
        <f>IF(Construction!$F$31=Construction!$R$22,Oeko!CQ531,Oeko!FD531)</f>
        <v>1</v>
      </c>
      <c r="AE531" s="1998">
        <f>IF(Construction!$F$31=Construction!$R$22,Oeko!CR531,Oeko!FE531)</f>
        <v>1</v>
      </c>
      <c r="AF531" s="1998">
        <f>IF(Construction!$F$31=Construction!$R$22,Oeko!CS531,Oeko!FF531)</f>
        <v>1</v>
      </c>
      <c r="AG531" s="1998">
        <f>IF(Construction!$F$31=Construction!$R$22,Oeko!CT531,Oeko!FG531)</f>
        <v>1</v>
      </c>
      <c r="AH531" s="1979">
        <f>IF(Construction!$F$31=Construction!$R$22,Oeko!CU531,Oeko!FH531)</f>
        <v>1</v>
      </c>
      <c r="AI531" s="1979">
        <f>IF(Construction!$F$31=Construction!$R$22,Oeko!CV531,Oeko!FI531)</f>
        <v>1</v>
      </c>
      <c r="AJ531" s="1979">
        <f>IF(Construction!$F$31=Construction!$R$22,Oeko!CW531,Oeko!FJ531)</f>
        <v>1</v>
      </c>
      <c r="AK531" s="1979">
        <f>IF(Construction!$F$31=Construction!$R$22,Oeko!CX531,Oeko!FK531)</f>
        <v>1</v>
      </c>
      <c r="AL531" s="1979">
        <f>IF(Construction!$F$31=Construction!$R$22,Oeko!CY531,Oeko!FL531)</f>
        <v>1</v>
      </c>
      <c r="AM531" s="1998">
        <f>IF(Construction!$F$31=Construction!$R$22,Oeko!CZ531,Oeko!FM531)</f>
        <v>1</v>
      </c>
      <c r="AN531" s="1998">
        <f>IF(Construction!$F$31=Construction!$R$22,Oeko!DA531,Oeko!FN531)</f>
        <v>1</v>
      </c>
      <c r="AO531" s="1998">
        <f>IF(Construction!$F$31=Construction!$R$22,Oeko!DB531,Oeko!FO531)</f>
        <v>1</v>
      </c>
      <c r="AP531" s="1998">
        <f>IF(Construction!$F$31=Construction!$R$22,Oeko!DC531,Oeko!FP531)</f>
        <v>1</v>
      </c>
      <c r="AQ531" s="1998">
        <f>IF(Construction!$F$31=Construction!$R$22,Oeko!DD531,Oeko!FQ531)</f>
        <v>1</v>
      </c>
      <c r="AR531" s="1979">
        <f>IF(Construction!$F$31=Construction!$R$22,Oeko!DE531,Oeko!FR531)</f>
        <v>1</v>
      </c>
      <c r="AS531" s="1979">
        <f>IF(Construction!$F$31=Construction!$R$22,Oeko!DF531,Oeko!FS531)</f>
        <v>1</v>
      </c>
      <c r="AT531" s="1979">
        <f>IF(Construction!$F$31=Construction!$R$22,Oeko!DG531,Oeko!FT531)</f>
        <v>1</v>
      </c>
      <c r="AU531" s="1979">
        <f>IF(Construction!$F$31=Construction!$R$22,Oeko!DH531,Oeko!FU531)</f>
        <v>1</v>
      </c>
      <c r="AV531" s="1979">
        <f>IF(Construction!$F$31=Construction!$R$22,Oeko!DI531,Oeko!FV531)</f>
        <v>1</v>
      </c>
      <c r="AW531" s="1998">
        <f>IF(Construction!$F$31=Construction!$R$22,Oeko!DJ531,Oeko!FW531)</f>
        <v>1</v>
      </c>
      <c r="AX531" s="1998">
        <f>IF(Construction!$F$31=Construction!$R$22,Oeko!DK531,Oeko!FX531)</f>
        <v>1</v>
      </c>
      <c r="AY531" s="1998">
        <f>IF(Construction!$F$31=Construction!$R$22,Oeko!DL531,Oeko!FY531)</f>
        <v>1</v>
      </c>
      <c r="AZ531" s="1998">
        <f>IF(Construction!$F$31=Construction!$R$22,Oeko!DM531,Oeko!FZ531)</f>
        <v>1</v>
      </c>
      <c r="BA531" s="1998">
        <f>IF(Construction!$F$31=Construction!$R$22,Oeko!DN531,Oeko!GA531)</f>
        <v>1</v>
      </c>
      <c r="BB531" s="1979">
        <f>IF(Construction!$F$31=Construction!$R$22,Oeko!DO531,Oeko!GB531)</f>
        <v>1</v>
      </c>
      <c r="BC531" s="1979">
        <f>IF(Construction!$F$31=Construction!$R$22,Oeko!DP531,Oeko!GC531)</f>
        <v>1</v>
      </c>
      <c r="BD531" s="1979">
        <f>IF(Construction!$F$31=Construction!$R$22,Oeko!DQ531,Oeko!GD531)</f>
        <v>1</v>
      </c>
      <c r="BE531" s="1979">
        <f>IF(Construction!$F$31=Construction!$R$22,Oeko!DR531,Oeko!GE531)</f>
        <v>1</v>
      </c>
      <c r="BF531" s="1979">
        <f>IF(Construction!$F$31=Construction!$R$22,Oeko!DS531,Oeko!GF531)</f>
        <v>1</v>
      </c>
      <c r="BG531" s="1998">
        <f>IF(Construction!$F$31=Construction!$R$22,Oeko!DT531,Oeko!GG531)</f>
        <v>1</v>
      </c>
      <c r="BH531" s="1998">
        <f>IF(Construction!$F$31=Construction!$R$22,Oeko!DU531,Oeko!GH531)</f>
        <v>1</v>
      </c>
      <c r="BI531" s="1998">
        <f>IF(Construction!$F$31=Construction!$R$22,Oeko!DV531,Oeko!GI531)</f>
        <v>1</v>
      </c>
      <c r="BJ531" s="1998">
        <f>IF(Construction!$F$31=Construction!$R$22,Oeko!DW531,Oeko!GJ531)</f>
        <v>1</v>
      </c>
      <c r="BK531" s="2026">
        <f>IF(Construction!$F$31=Construction!$R$22,Oeko!DX531,Oeko!GK531)</f>
        <v>1</v>
      </c>
      <c r="BN531" s="2022"/>
      <c r="BO531" s="2">
        <v>30</v>
      </c>
      <c r="BP531" s="2" t="str">
        <f>$AD$14</f>
        <v>Micro-pieux</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Micro-pieux</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Pieux en béton coulé sur place</v>
      </c>
      <c r="D532" s="1979">
        <f>IF(Construction!$F$31=Construction!$R$22,Oeko!BQ532,Oeko!ED532)</f>
        <v>0</v>
      </c>
      <c r="E532" s="1979">
        <f>IF(Construction!$F$31=Construction!$R$22,Oeko!BR532,Oeko!EE532)</f>
        <v>0</v>
      </c>
      <c r="F532" s="1979">
        <f>IF(Construction!$F$31=Construction!$R$22,Oeko!BS532,Oeko!EF532)</f>
        <v>0</v>
      </c>
      <c r="G532" s="1979">
        <f>IF(Construction!$F$31=Construction!$R$22,Oeko!BT532,Oeko!EG532)</f>
        <v>0</v>
      </c>
      <c r="H532" s="1979">
        <f>IF(Construction!$F$31=Construction!$R$22,Oeko!BU532,Oeko!EH532)</f>
        <v>0</v>
      </c>
      <c r="I532" s="1998">
        <f>IF(Construction!$F$31=Construction!$R$22,Oeko!BV532,Oeko!EI532)</f>
        <v>1</v>
      </c>
      <c r="J532" s="1998">
        <f>IF(Construction!$F$31=Construction!$R$22,Oeko!BW532,Oeko!EJ532)</f>
        <v>1</v>
      </c>
      <c r="K532" s="1998">
        <f>IF(Construction!$F$31=Construction!$R$22,Oeko!BX532,Oeko!EK532)</f>
        <v>1</v>
      </c>
      <c r="L532" s="1998">
        <f>IF(Construction!$F$31=Construction!$R$22,Oeko!BY532,Oeko!EL532)</f>
        <v>1</v>
      </c>
      <c r="M532" s="1998">
        <f>IF(Construction!$F$31=Construction!$R$22,Oeko!BZ532,Oeko!EM532)</f>
        <v>1</v>
      </c>
      <c r="N532" s="1979">
        <f>IF(Construction!$F$31=Construction!$R$22,Oeko!CA532,Oeko!EN532)</f>
        <v>1</v>
      </c>
      <c r="O532" s="1979">
        <f>IF(Construction!$F$31=Construction!$R$22,Oeko!CB532,Oeko!EO532)</f>
        <v>1</v>
      </c>
      <c r="P532" s="1979">
        <f>IF(Construction!$F$31=Construction!$R$22,Oeko!CC532,Oeko!EP532)</f>
        <v>1</v>
      </c>
      <c r="Q532" s="1979">
        <f>IF(Construction!$F$31=Construction!$R$22,Oeko!CD532,Oeko!EQ532)</f>
        <v>1</v>
      </c>
      <c r="R532" s="1979">
        <f>IF(Construction!$F$31=Construction!$R$22,Oeko!CE532,Oeko!ER532)</f>
        <v>1</v>
      </c>
      <c r="S532" s="1998">
        <f>IF(Construction!$F$31=Construction!$R$22,Oeko!CF532,Oeko!ES532)</f>
        <v>1</v>
      </c>
      <c r="T532" s="1998">
        <f>IF(Construction!$F$31=Construction!$R$22,Oeko!CG532,Oeko!ET532)</f>
        <v>1</v>
      </c>
      <c r="U532" s="1998">
        <f>IF(Construction!$F$31=Construction!$R$22,Oeko!CH532,Oeko!EU532)</f>
        <v>1</v>
      </c>
      <c r="V532" s="1998">
        <f>IF(Construction!$F$31=Construction!$R$22,Oeko!CI532,Oeko!EV532)</f>
        <v>1</v>
      </c>
      <c r="W532" s="1998">
        <f>IF(Construction!$F$31=Construction!$R$22,Oeko!CJ532,Oeko!EW532)</f>
        <v>1</v>
      </c>
      <c r="X532" s="1979">
        <f>IF(Construction!$F$31=Construction!$R$22,Oeko!CK532,Oeko!EX532)</f>
        <v>1</v>
      </c>
      <c r="Y532" s="1979">
        <f>IF(Construction!$F$31=Construction!$R$22,Oeko!CL532,Oeko!EY532)</f>
        <v>1</v>
      </c>
      <c r="Z532" s="1979">
        <f>IF(Construction!$F$31=Construction!$R$22,Oeko!CM532,Oeko!EZ532)</f>
        <v>1</v>
      </c>
      <c r="AA532" s="1979">
        <f>IF(Construction!$F$31=Construction!$R$22,Oeko!CN532,Oeko!FA532)</f>
        <v>1</v>
      </c>
      <c r="AB532" s="1979">
        <f>IF(Construction!$F$31=Construction!$R$22,Oeko!CO532,Oeko!FB532)</f>
        <v>1</v>
      </c>
      <c r="AC532" s="1998">
        <f>IF(Construction!$F$31=Construction!$R$22,Oeko!CP532,Oeko!FC532)</f>
        <v>1</v>
      </c>
      <c r="AD532" s="1998">
        <f>IF(Construction!$F$31=Construction!$R$22,Oeko!CQ532,Oeko!FD532)</f>
        <v>1</v>
      </c>
      <c r="AE532" s="1998">
        <f>IF(Construction!$F$31=Construction!$R$22,Oeko!CR532,Oeko!FE532)</f>
        <v>1</v>
      </c>
      <c r="AF532" s="1998">
        <f>IF(Construction!$F$31=Construction!$R$22,Oeko!CS532,Oeko!FF532)</f>
        <v>1</v>
      </c>
      <c r="AG532" s="1998">
        <f>IF(Construction!$F$31=Construction!$R$22,Oeko!CT532,Oeko!FG532)</f>
        <v>1</v>
      </c>
      <c r="AH532" s="1979">
        <f>IF(Construction!$F$31=Construction!$R$22,Oeko!CU532,Oeko!FH532)</f>
        <v>1</v>
      </c>
      <c r="AI532" s="1979">
        <f>IF(Construction!$F$31=Construction!$R$22,Oeko!CV532,Oeko!FI532)</f>
        <v>1</v>
      </c>
      <c r="AJ532" s="1979">
        <f>IF(Construction!$F$31=Construction!$R$22,Oeko!CW532,Oeko!FJ532)</f>
        <v>1</v>
      </c>
      <c r="AK532" s="1979">
        <f>IF(Construction!$F$31=Construction!$R$22,Oeko!CX532,Oeko!FK532)</f>
        <v>1</v>
      </c>
      <c r="AL532" s="1979">
        <f>IF(Construction!$F$31=Construction!$R$22,Oeko!CY532,Oeko!FL532)</f>
        <v>1</v>
      </c>
      <c r="AM532" s="1998">
        <f>IF(Construction!$F$31=Construction!$R$22,Oeko!CZ532,Oeko!FM532)</f>
        <v>1</v>
      </c>
      <c r="AN532" s="1998">
        <f>IF(Construction!$F$31=Construction!$R$22,Oeko!DA532,Oeko!FN532)</f>
        <v>1</v>
      </c>
      <c r="AO532" s="1998">
        <f>IF(Construction!$F$31=Construction!$R$22,Oeko!DB532,Oeko!FO532)</f>
        <v>1</v>
      </c>
      <c r="AP532" s="1998">
        <f>IF(Construction!$F$31=Construction!$R$22,Oeko!DC532,Oeko!FP532)</f>
        <v>1</v>
      </c>
      <c r="AQ532" s="1998">
        <f>IF(Construction!$F$31=Construction!$R$22,Oeko!DD532,Oeko!FQ532)</f>
        <v>1</v>
      </c>
      <c r="AR532" s="1979">
        <f>IF(Construction!$F$31=Construction!$R$22,Oeko!DE532,Oeko!FR532)</f>
        <v>1</v>
      </c>
      <c r="AS532" s="1979">
        <f>IF(Construction!$F$31=Construction!$R$22,Oeko!DF532,Oeko!FS532)</f>
        <v>1</v>
      </c>
      <c r="AT532" s="1979">
        <f>IF(Construction!$F$31=Construction!$R$22,Oeko!DG532,Oeko!FT532)</f>
        <v>1</v>
      </c>
      <c r="AU532" s="1979">
        <f>IF(Construction!$F$31=Construction!$R$22,Oeko!DH532,Oeko!FU532)</f>
        <v>1</v>
      </c>
      <c r="AV532" s="1979">
        <f>IF(Construction!$F$31=Construction!$R$22,Oeko!DI532,Oeko!FV532)</f>
        <v>1</v>
      </c>
      <c r="AW532" s="1998">
        <f>IF(Construction!$F$31=Construction!$R$22,Oeko!DJ532,Oeko!FW532)</f>
        <v>1</v>
      </c>
      <c r="AX532" s="1998">
        <f>IF(Construction!$F$31=Construction!$R$22,Oeko!DK532,Oeko!FX532)</f>
        <v>1</v>
      </c>
      <c r="AY532" s="1998">
        <f>IF(Construction!$F$31=Construction!$R$22,Oeko!DL532,Oeko!FY532)</f>
        <v>1</v>
      </c>
      <c r="AZ532" s="1998">
        <f>IF(Construction!$F$31=Construction!$R$22,Oeko!DM532,Oeko!FZ532)</f>
        <v>1</v>
      </c>
      <c r="BA532" s="1998">
        <f>IF(Construction!$F$31=Construction!$R$22,Oeko!DN532,Oeko!GA532)</f>
        <v>1</v>
      </c>
      <c r="BB532" s="1979">
        <f>IF(Construction!$F$31=Construction!$R$22,Oeko!DO532,Oeko!GB532)</f>
        <v>1</v>
      </c>
      <c r="BC532" s="1979">
        <f>IF(Construction!$F$31=Construction!$R$22,Oeko!DP532,Oeko!GC532)</f>
        <v>1</v>
      </c>
      <c r="BD532" s="1979">
        <f>IF(Construction!$F$31=Construction!$R$22,Oeko!DQ532,Oeko!GD532)</f>
        <v>1</v>
      </c>
      <c r="BE532" s="1979">
        <f>IF(Construction!$F$31=Construction!$R$22,Oeko!DR532,Oeko!GE532)</f>
        <v>1</v>
      </c>
      <c r="BF532" s="1979">
        <f>IF(Construction!$F$31=Construction!$R$22,Oeko!DS532,Oeko!GF532)</f>
        <v>1</v>
      </c>
      <c r="BG532" s="1998">
        <f>IF(Construction!$F$31=Construction!$R$22,Oeko!DT532,Oeko!GG532)</f>
        <v>1</v>
      </c>
      <c r="BH532" s="1998">
        <f>IF(Construction!$F$31=Construction!$R$22,Oeko!DU532,Oeko!GH532)</f>
        <v>1</v>
      </c>
      <c r="BI532" s="1998">
        <f>IF(Construction!$F$31=Construction!$R$22,Oeko!DV532,Oeko!GI532)</f>
        <v>1</v>
      </c>
      <c r="BJ532" s="1998">
        <f>IF(Construction!$F$31=Construction!$R$22,Oeko!DW532,Oeko!GJ532)</f>
        <v>1</v>
      </c>
      <c r="BK532" s="2026">
        <f>IF(Construction!$F$31=Construction!$R$22,Oeko!DX532,Oeko!GK532)</f>
        <v>1</v>
      </c>
      <c r="BN532" s="2022"/>
      <c r="BO532" s="2">
        <v>31</v>
      </c>
      <c r="BP532" s="2" t="str">
        <f>$AD$15</f>
        <v>Pieux en béton coulé sur place</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Pieux en béton coulé sur place</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Colonnes ballastées</v>
      </c>
      <c r="D533" s="1979">
        <f>IF(Construction!$F$31=Construction!$R$22,Oeko!BQ533,Oeko!ED533)</f>
        <v>0</v>
      </c>
      <c r="E533" s="1979">
        <f>IF(Construction!$F$31=Construction!$R$22,Oeko!BR533,Oeko!EE533)</f>
        <v>0</v>
      </c>
      <c r="F533" s="1979">
        <f>IF(Construction!$F$31=Construction!$R$22,Oeko!BS533,Oeko!EF533)</f>
        <v>0</v>
      </c>
      <c r="G533" s="1979">
        <f>IF(Construction!$F$31=Construction!$R$22,Oeko!BT533,Oeko!EG533)</f>
        <v>0</v>
      </c>
      <c r="H533" s="1979">
        <f>IF(Construction!$F$31=Construction!$R$22,Oeko!BU533,Oeko!EH533)</f>
        <v>0</v>
      </c>
      <c r="I533" s="1998">
        <f>IF(Construction!$F$31=Construction!$R$22,Oeko!BV533,Oeko!EI533)</f>
        <v>1</v>
      </c>
      <c r="J533" s="1998">
        <f>IF(Construction!$F$31=Construction!$R$22,Oeko!BW533,Oeko!EJ533)</f>
        <v>1</v>
      </c>
      <c r="K533" s="1998">
        <f>IF(Construction!$F$31=Construction!$R$22,Oeko!BX533,Oeko!EK533)</f>
        <v>1</v>
      </c>
      <c r="L533" s="1998">
        <f>IF(Construction!$F$31=Construction!$R$22,Oeko!BY533,Oeko!EL533)</f>
        <v>1</v>
      </c>
      <c r="M533" s="1998">
        <f>IF(Construction!$F$31=Construction!$R$22,Oeko!BZ533,Oeko!EM533)</f>
        <v>1</v>
      </c>
      <c r="N533" s="1979">
        <f>IF(Construction!$F$31=Construction!$R$22,Oeko!CA533,Oeko!EN533)</f>
        <v>1</v>
      </c>
      <c r="O533" s="1979">
        <f>IF(Construction!$F$31=Construction!$R$22,Oeko!CB533,Oeko!EO533)</f>
        <v>1</v>
      </c>
      <c r="P533" s="1979">
        <f>IF(Construction!$F$31=Construction!$R$22,Oeko!CC533,Oeko!EP533)</f>
        <v>1</v>
      </c>
      <c r="Q533" s="1979">
        <f>IF(Construction!$F$31=Construction!$R$22,Oeko!CD533,Oeko!EQ533)</f>
        <v>1</v>
      </c>
      <c r="R533" s="1979">
        <f>IF(Construction!$F$31=Construction!$R$22,Oeko!CE533,Oeko!ER533)</f>
        <v>1</v>
      </c>
      <c r="S533" s="1998">
        <f>IF(Construction!$F$31=Construction!$R$22,Oeko!CF533,Oeko!ES533)</f>
        <v>1</v>
      </c>
      <c r="T533" s="1998">
        <f>IF(Construction!$F$31=Construction!$R$22,Oeko!CG533,Oeko!ET533)</f>
        <v>1</v>
      </c>
      <c r="U533" s="1998">
        <f>IF(Construction!$F$31=Construction!$R$22,Oeko!CH533,Oeko!EU533)</f>
        <v>1</v>
      </c>
      <c r="V533" s="1998">
        <f>IF(Construction!$F$31=Construction!$R$22,Oeko!CI533,Oeko!EV533)</f>
        <v>1</v>
      </c>
      <c r="W533" s="1998">
        <f>IF(Construction!$F$31=Construction!$R$22,Oeko!CJ533,Oeko!EW533)</f>
        <v>1</v>
      </c>
      <c r="X533" s="1979">
        <f>IF(Construction!$F$31=Construction!$R$22,Oeko!CK533,Oeko!EX533)</f>
        <v>1</v>
      </c>
      <c r="Y533" s="1979">
        <f>IF(Construction!$F$31=Construction!$R$22,Oeko!CL533,Oeko!EY533)</f>
        <v>1</v>
      </c>
      <c r="Z533" s="1979">
        <f>IF(Construction!$F$31=Construction!$R$22,Oeko!CM533,Oeko!EZ533)</f>
        <v>1</v>
      </c>
      <c r="AA533" s="1979">
        <f>IF(Construction!$F$31=Construction!$R$22,Oeko!CN533,Oeko!FA533)</f>
        <v>1</v>
      </c>
      <c r="AB533" s="1979">
        <f>IF(Construction!$F$31=Construction!$R$22,Oeko!CO533,Oeko!FB533)</f>
        <v>1</v>
      </c>
      <c r="AC533" s="1998">
        <f>IF(Construction!$F$31=Construction!$R$22,Oeko!CP533,Oeko!FC533)</f>
        <v>1</v>
      </c>
      <c r="AD533" s="1998">
        <f>IF(Construction!$F$31=Construction!$R$22,Oeko!CQ533,Oeko!FD533)</f>
        <v>1</v>
      </c>
      <c r="AE533" s="1998">
        <f>IF(Construction!$F$31=Construction!$R$22,Oeko!CR533,Oeko!FE533)</f>
        <v>1</v>
      </c>
      <c r="AF533" s="1998">
        <f>IF(Construction!$F$31=Construction!$R$22,Oeko!CS533,Oeko!FF533)</f>
        <v>1</v>
      </c>
      <c r="AG533" s="1998">
        <f>IF(Construction!$F$31=Construction!$R$22,Oeko!CT533,Oeko!FG533)</f>
        <v>1</v>
      </c>
      <c r="AH533" s="1979">
        <f>IF(Construction!$F$31=Construction!$R$22,Oeko!CU533,Oeko!FH533)</f>
        <v>1</v>
      </c>
      <c r="AI533" s="1979">
        <f>IF(Construction!$F$31=Construction!$R$22,Oeko!CV533,Oeko!FI533)</f>
        <v>1</v>
      </c>
      <c r="AJ533" s="1979">
        <f>IF(Construction!$F$31=Construction!$R$22,Oeko!CW533,Oeko!FJ533)</f>
        <v>1</v>
      </c>
      <c r="AK533" s="1979">
        <f>IF(Construction!$F$31=Construction!$R$22,Oeko!CX533,Oeko!FK533)</f>
        <v>1</v>
      </c>
      <c r="AL533" s="1979">
        <f>IF(Construction!$F$31=Construction!$R$22,Oeko!CY533,Oeko!FL533)</f>
        <v>1</v>
      </c>
      <c r="AM533" s="1998">
        <f>IF(Construction!$F$31=Construction!$R$22,Oeko!CZ533,Oeko!FM533)</f>
        <v>1</v>
      </c>
      <c r="AN533" s="1998">
        <f>IF(Construction!$F$31=Construction!$R$22,Oeko!DA533,Oeko!FN533)</f>
        <v>1</v>
      </c>
      <c r="AO533" s="1998">
        <f>IF(Construction!$F$31=Construction!$R$22,Oeko!DB533,Oeko!FO533)</f>
        <v>1</v>
      </c>
      <c r="AP533" s="1998">
        <f>IF(Construction!$F$31=Construction!$R$22,Oeko!DC533,Oeko!FP533)</f>
        <v>1</v>
      </c>
      <c r="AQ533" s="1998">
        <f>IF(Construction!$F$31=Construction!$R$22,Oeko!DD533,Oeko!FQ533)</f>
        <v>1</v>
      </c>
      <c r="AR533" s="1979">
        <f>IF(Construction!$F$31=Construction!$R$22,Oeko!DE533,Oeko!FR533)</f>
        <v>1</v>
      </c>
      <c r="AS533" s="1979">
        <f>IF(Construction!$F$31=Construction!$R$22,Oeko!DF533,Oeko!FS533)</f>
        <v>1</v>
      </c>
      <c r="AT533" s="1979">
        <f>IF(Construction!$F$31=Construction!$R$22,Oeko!DG533,Oeko!FT533)</f>
        <v>1</v>
      </c>
      <c r="AU533" s="1979">
        <f>IF(Construction!$F$31=Construction!$R$22,Oeko!DH533,Oeko!FU533)</f>
        <v>1</v>
      </c>
      <c r="AV533" s="1979">
        <f>IF(Construction!$F$31=Construction!$R$22,Oeko!DI533,Oeko!FV533)</f>
        <v>1</v>
      </c>
      <c r="AW533" s="1998">
        <f>IF(Construction!$F$31=Construction!$R$22,Oeko!DJ533,Oeko!FW533)</f>
        <v>1</v>
      </c>
      <c r="AX533" s="1998">
        <f>IF(Construction!$F$31=Construction!$R$22,Oeko!DK533,Oeko!FX533)</f>
        <v>1</v>
      </c>
      <c r="AY533" s="1998">
        <f>IF(Construction!$F$31=Construction!$R$22,Oeko!DL533,Oeko!FY533)</f>
        <v>1</v>
      </c>
      <c r="AZ533" s="1998">
        <f>IF(Construction!$F$31=Construction!$R$22,Oeko!DM533,Oeko!FZ533)</f>
        <v>1</v>
      </c>
      <c r="BA533" s="1998">
        <f>IF(Construction!$F$31=Construction!$R$22,Oeko!DN533,Oeko!GA533)</f>
        <v>1</v>
      </c>
      <c r="BB533" s="1979">
        <f>IF(Construction!$F$31=Construction!$R$22,Oeko!DO533,Oeko!GB533)</f>
        <v>1</v>
      </c>
      <c r="BC533" s="1979">
        <f>IF(Construction!$F$31=Construction!$R$22,Oeko!DP533,Oeko!GC533)</f>
        <v>1</v>
      </c>
      <c r="BD533" s="1979">
        <f>IF(Construction!$F$31=Construction!$R$22,Oeko!DQ533,Oeko!GD533)</f>
        <v>1</v>
      </c>
      <c r="BE533" s="1979">
        <f>IF(Construction!$F$31=Construction!$R$22,Oeko!DR533,Oeko!GE533)</f>
        <v>1</v>
      </c>
      <c r="BF533" s="1979">
        <f>IF(Construction!$F$31=Construction!$R$22,Oeko!DS533,Oeko!GF533)</f>
        <v>1</v>
      </c>
      <c r="BG533" s="1998">
        <f>IF(Construction!$F$31=Construction!$R$22,Oeko!DT533,Oeko!GG533)</f>
        <v>1</v>
      </c>
      <c r="BH533" s="1998">
        <f>IF(Construction!$F$31=Construction!$R$22,Oeko!DU533,Oeko!GH533)</f>
        <v>1</v>
      </c>
      <c r="BI533" s="1998">
        <f>IF(Construction!$F$31=Construction!$R$22,Oeko!DV533,Oeko!GI533)</f>
        <v>1</v>
      </c>
      <c r="BJ533" s="1998">
        <f>IF(Construction!$F$31=Construction!$R$22,Oeko!DW533,Oeko!GJ533)</f>
        <v>1</v>
      </c>
      <c r="BK533" s="2026">
        <f>IF(Construction!$F$31=Construction!$R$22,Oeko!DX533,Oeko!GK533)</f>
        <v>1</v>
      </c>
      <c r="BN533" s="2022"/>
      <c r="BO533" s="2">
        <v>32</v>
      </c>
      <c r="BP533" s="2" t="str">
        <f>$AD$16</f>
        <v>Colonnes ballastées</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Colonnes ballastées</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Pieu en béton préfabriqué (battus)</v>
      </c>
      <c r="D534" s="1979">
        <f>IF(Construction!$F$31=Construction!$R$22,Oeko!BQ534,Oeko!ED534)</f>
        <v>0</v>
      </c>
      <c r="E534" s="1979">
        <f>IF(Construction!$F$31=Construction!$R$22,Oeko!BR534,Oeko!EE534)</f>
        <v>0</v>
      </c>
      <c r="F534" s="1979">
        <f>IF(Construction!$F$31=Construction!$R$22,Oeko!BS534,Oeko!EF534)</f>
        <v>0</v>
      </c>
      <c r="G534" s="1979">
        <f>IF(Construction!$F$31=Construction!$R$22,Oeko!BT534,Oeko!EG534)</f>
        <v>0</v>
      </c>
      <c r="H534" s="1979">
        <f>IF(Construction!$F$31=Construction!$R$22,Oeko!BU534,Oeko!EH534)</f>
        <v>0</v>
      </c>
      <c r="I534" s="1998">
        <f>IF(Construction!$F$31=Construction!$R$22,Oeko!BV534,Oeko!EI534)</f>
        <v>1</v>
      </c>
      <c r="J534" s="1998">
        <f>IF(Construction!$F$31=Construction!$R$22,Oeko!BW534,Oeko!EJ534)</f>
        <v>1</v>
      </c>
      <c r="K534" s="1998">
        <f>IF(Construction!$F$31=Construction!$R$22,Oeko!BX534,Oeko!EK534)</f>
        <v>1</v>
      </c>
      <c r="L534" s="1998">
        <f>IF(Construction!$F$31=Construction!$R$22,Oeko!BY534,Oeko!EL534)</f>
        <v>1</v>
      </c>
      <c r="M534" s="1998">
        <f>IF(Construction!$F$31=Construction!$R$22,Oeko!BZ534,Oeko!EM534)</f>
        <v>1</v>
      </c>
      <c r="N534" s="1979">
        <f>IF(Construction!$F$31=Construction!$R$22,Oeko!CA534,Oeko!EN534)</f>
        <v>1</v>
      </c>
      <c r="O534" s="1979">
        <f>IF(Construction!$F$31=Construction!$R$22,Oeko!CB534,Oeko!EO534)</f>
        <v>1</v>
      </c>
      <c r="P534" s="1979">
        <f>IF(Construction!$F$31=Construction!$R$22,Oeko!CC534,Oeko!EP534)</f>
        <v>1</v>
      </c>
      <c r="Q534" s="1979">
        <f>IF(Construction!$F$31=Construction!$R$22,Oeko!CD534,Oeko!EQ534)</f>
        <v>1</v>
      </c>
      <c r="R534" s="1979">
        <f>IF(Construction!$F$31=Construction!$R$22,Oeko!CE534,Oeko!ER534)</f>
        <v>1</v>
      </c>
      <c r="S534" s="1998">
        <f>IF(Construction!$F$31=Construction!$R$22,Oeko!CF534,Oeko!ES534)</f>
        <v>1</v>
      </c>
      <c r="T534" s="1998">
        <f>IF(Construction!$F$31=Construction!$R$22,Oeko!CG534,Oeko!ET534)</f>
        <v>1</v>
      </c>
      <c r="U534" s="1998">
        <f>IF(Construction!$F$31=Construction!$R$22,Oeko!CH534,Oeko!EU534)</f>
        <v>1</v>
      </c>
      <c r="V534" s="1998">
        <f>IF(Construction!$F$31=Construction!$R$22,Oeko!CI534,Oeko!EV534)</f>
        <v>1</v>
      </c>
      <c r="W534" s="1998">
        <f>IF(Construction!$F$31=Construction!$R$22,Oeko!CJ534,Oeko!EW534)</f>
        <v>1</v>
      </c>
      <c r="X534" s="1979">
        <f>IF(Construction!$F$31=Construction!$R$22,Oeko!CK534,Oeko!EX534)</f>
        <v>1</v>
      </c>
      <c r="Y534" s="1979">
        <f>IF(Construction!$F$31=Construction!$R$22,Oeko!CL534,Oeko!EY534)</f>
        <v>1</v>
      </c>
      <c r="Z534" s="1979">
        <f>IF(Construction!$F$31=Construction!$R$22,Oeko!CM534,Oeko!EZ534)</f>
        <v>1</v>
      </c>
      <c r="AA534" s="1979">
        <f>IF(Construction!$F$31=Construction!$R$22,Oeko!CN534,Oeko!FA534)</f>
        <v>1</v>
      </c>
      <c r="AB534" s="1979">
        <f>IF(Construction!$F$31=Construction!$R$22,Oeko!CO534,Oeko!FB534)</f>
        <v>1</v>
      </c>
      <c r="AC534" s="1998">
        <f>IF(Construction!$F$31=Construction!$R$22,Oeko!CP534,Oeko!FC534)</f>
        <v>1</v>
      </c>
      <c r="AD534" s="1998">
        <f>IF(Construction!$F$31=Construction!$R$22,Oeko!CQ534,Oeko!FD534)</f>
        <v>1</v>
      </c>
      <c r="AE534" s="1998">
        <f>IF(Construction!$F$31=Construction!$R$22,Oeko!CR534,Oeko!FE534)</f>
        <v>1</v>
      </c>
      <c r="AF534" s="1998">
        <f>IF(Construction!$F$31=Construction!$R$22,Oeko!CS534,Oeko!FF534)</f>
        <v>1</v>
      </c>
      <c r="AG534" s="1998">
        <f>IF(Construction!$F$31=Construction!$R$22,Oeko!CT534,Oeko!FG534)</f>
        <v>1</v>
      </c>
      <c r="AH534" s="1979">
        <f>IF(Construction!$F$31=Construction!$R$22,Oeko!CU534,Oeko!FH534)</f>
        <v>1</v>
      </c>
      <c r="AI534" s="1979">
        <f>IF(Construction!$F$31=Construction!$R$22,Oeko!CV534,Oeko!FI534)</f>
        <v>1</v>
      </c>
      <c r="AJ534" s="1979">
        <f>IF(Construction!$F$31=Construction!$R$22,Oeko!CW534,Oeko!FJ534)</f>
        <v>1</v>
      </c>
      <c r="AK534" s="1979">
        <f>IF(Construction!$F$31=Construction!$R$22,Oeko!CX534,Oeko!FK534)</f>
        <v>1</v>
      </c>
      <c r="AL534" s="1979">
        <f>IF(Construction!$F$31=Construction!$R$22,Oeko!CY534,Oeko!FL534)</f>
        <v>1</v>
      </c>
      <c r="AM534" s="1998">
        <f>IF(Construction!$F$31=Construction!$R$22,Oeko!CZ534,Oeko!FM534)</f>
        <v>1</v>
      </c>
      <c r="AN534" s="1998">
        <f>IF(Construction!$F$31=Construction!$R$22,Oeko!DA534,Oeko!FN534)</f>
        <v>1</v>
      </c>
      <c r="AO534" s="1998">
        <f>IF(Construction!$F$31=Construction!$R$22,Oeko!DB534,Oeko!FO534)</f>
        <v>1</v>
      </c>
      <c r="AP534" s="1998">
        <f>IF(Construction!$F$31=Construction!$R$22,Oeko!DC534,Oeko!FP534)</f>
        <v>1</v>
      </c>
      <c r="AQ534" s="1998">
        <f>IF(Construction!$F$31=Construction!$R$22,Oeko!DD534,Oeko!FQ534)</f>
        <v>1</v>
      </c>
      <c r="AR534" s="1979">
        <f>IF(Construction!$F$31=Construction!$R$22,Oeko!DE534,Oeko!FR534)</f>
        <v>1</v>
      </c>
      <c r="AS534" s="1979">
        <f>IF(Construction!$F$31=Construction!$R$22,Oeko!DF534,Oeko!FS534)</f>
        <v>1</v>
      </c>
      <c r="AT534" s="1979">
        <f>IF(Construction!$F$31=Construction!$R$22,Oeko!DG534,Oeko!FT534)</f>
        <v>1</v>
      </c>
      <c r="AU534" s="1979">
        <f>IF(Construction!$F$31=Construction!$R$22,Oeko!DH534,Oeko!FU534)</f>
        <v>1</v>
      </c>
      <c r="AV534" s="1979">
        <f>IF(Construction!$F$31=Construction!$R$22,Oeko!DI534,Oeko!FV534)</f>
        <v>1</v>
      </c>
      <c r="AW534" s="1998">
        <f>IF(Construction!$F$31=Construction!$R$22,Oeko!DJ534,Oeko!FW534)</f>
        <v>1</v>
      </c>
      <c r="AX534" s="1998">
        <f>IF(Construction!$F$31=Construction!$R$22,Oeko!DK534,Oeko!FX534)</f>
        <v>1</v>
      </c>
      <c r="AY534" s="1998">
        <f>IF(Construction!$F$31=Construction!$R$22,Oeko!DL534,Oeko!FY534)</f>
        <v>1</v>
      </c>
      <c r="AZ534" s="1998">
        <f>IF(Construction!$F$31=Construction!$R$22,Oeko!DM534,Oeko!FZ534)</f>
        <v>1</v>
      </c>
      <c r="BA534" s="1998">
        <f>IF(Construction!$F$31=Construction!$R$22,Oeko!DN534,Oeko!GA534)</f>
        <v>1</v>
      </c>
      <c r="BB534" s="1979">
        <f>IF(Construction!$F$31=Construction!$R$22,Oeko!DO534,Oeko!GB534)</f>
        <v>1</v>
      </c>
      <c r="BC534" s="1979">
        <f>IF(Construction!$F$31=Construction!$R$22,Oeko!DP534,Oeko!GC534)</f>
        <v>1</v>
      </c>
      <c r="BD534" s="1979">
        <f>IF(Construction!$F$31=Construction!$R$22,Oeko!DQ534,Oeko!GD534)</f>
        <v>1</v>
      </c>
      <c r="BE534" s="1979">
        <f>IF(Construction!$F$31=Construction!$R$22,Oeko!DR534,Oeko!GE534)</f>
        <v>1</v>
      </c>
      <c r="BF534" s="1979">
        <f>IF(Construction!$F$31=Construction!$R$22,Oeko!DS534,Oeko!GF534)</f>
        <v>1</v>
      </c>
      <c r="BG534" s="1998">
        <f>IF(Construction!$F$31=Construction!$R$22,Oeko!DT534,Oeko!GG534)</f>
        <v>1</v>
      </c>
      <c r="BH534" s="1998">
        <f>IF(Construction!$F$31=Construction!$R$22,Oeko!DU534,Oeko!GH534)</f>
        <v>1</v>
      </c>
      <c r="BI534" s="1998">
        <f>IF(Construction!$F$31=Construction!$R$22,Oeko!DV534,Oeko!GI534)</f>
        <v>1</v>
      </c>
      <c r="BJ534" s="1998">
        <f>IF(Construction!$F$31=Construction!$R$22,Oeko!DW534,Oeko!GJ534)</f>
        <v>1</v>
      </c>
      <c r="BK534" s="2026">
        <f>IF(Construction!$F$31=Construction!$R$22,Oeko!DX534,Oeko!GK534)</f>
        <v>1</v>
      </c>
      <c r="BN534" s="2022"/>
      <c r="BO534" s="2">
        <v>33</v>
      </c>
      <c r="BP534" s="2" t="str">
        <f>$AD$17</f>
        <v>Pieu en béton préfabriqué (battus)</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Pieu en béton préfabriqué (battus)</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IF(Construction!$F$31=Construction!$R$22,Oeko!BQ535,Oeko!ED535)</f>
        <v>0</v>
      </c>
      <c r="E535" s="1979">
        <f>IF(Construction!$F$31=Construction!$R$22,Oeko!BR535,Oeko!EE535)</f>
        <v>0</v>
      </c>
      <c r="F535" s="1979">
        <f>IF(Construction!$F$31=Construction!$R$22,Oeko!BS535,Oeko!EF535)</f>
        <v>0</v>
      </c>
      <c r="G535" s="1979">
        <f>IF(Construction!$F$31=Construction!$R$22,Oeko!BT535,Oeko!EG535)</f>
        <v>0</v>
      </c>
      <c r="H535" s="1979">
        <f>IF(Construction!$F$31=Construction!$R$22,Oeko!BU535,Oeko!EH535)</f>
        <v>0</v>
      </c>
      <c r="I535" s="1998">
        <f>IF(Construction!$F$31=Construction!$R$22,Oeko!BV535,Oeko!EI535)</f>
        <v>1</v>
      </c>
      <c r="J535" s="1998">
        <f>IF(Construction!$F$31=Construction!$R$22,Oeko!BW535,Oeko!EJ535)</f>
        <v>1</v>
      </c>
      <c r="K535" s="1998">
        <f>IF(Construction!$F$31=Construction!$R$22,Oeko!BX535,Oeko!EK535)</f>
        <v>1</v>
      </c>
      <c r="L535" s="1998">
        <f>IF(Construction!$F$31=Construction!$R$22,Oeko!BY535,Oeko!EL535)</f>
        <v>1</v>
      </c>
      <c r="M535" s="1998">
        <f>IF(Construction!$F$31=Construction!$R$22,Oeko!BZ535,Oeko!EM535)</f>
        <v>1</v>
      </c>
      <c r="N535" s="1979">
        <f>IF(Construction!$F$31=Construction!$R$22,Oeko!CA535,Oeko!EN535)</f>
        <v>1</v>
      </c>
      <c r="O535" s="1979">
        <f>IF(Construction!$F$31=Construction!$R$22,Oeko!CB535,Oeko!EO535)</f>
        <v>1</v>
      </c>
      <c r="P535" s="1979">
        <f>IF(Construction!$F$31=Construction!$R$22,Oeko!CC535,Oeko!EP535)</f>
        <v>1</v>
      </c>
      <c r="Q535" s="1979">
        <f>IF(Construction!$F$31=Construction!$R$22,Oeko!CD535,Oeko!EQ535)</f>
        <v>1</v>
      </c>
      <c r="R535" s="1979">
        <f>IF(Construction!$F$31=Construction!$R$22,Oeko!CE535,Oeko!ER535)</f>
        <v>1</v>
      </c>
      <c r="S535" s="1998">
        <f>IF(Construction!$F$31=Construction!$R$22,Oeko!CF535,Oeko!ES535)</f>
        <v>1</v>
      </c>
      <c r="T535" s="1998">
        <f>IF(Construction!$F$31=Construction!$R$22,Oeko!CG535,Oeko!ET535)</f>
        <v>1</v>
      </c>
      <c r="U535" s="1998">
        <f>IF(Construction!$F$31=Construction!$R$22,Oeko!CH535,Oeko!EU535)</f>
        <v>1</v>
      </c>
      <c r="V535" s="1998">
        <f>IF(Construction!$F$31=Construction!$R$22,Oeko!CI535,Oeko!EV535)</f>
        <v>1</v>
      </c>
      <c r="W535" s="1998">
        <f>IF(Construction!$F$31=Construction!$R$22,Oeko!CJ535,Oeko!EW535)</f>
        <v>1</v>
      </c>
      <c r="X535" s="1979">
        <f>IF(Construction!$F$31=Construction!$R$22,Oeko!CK535,Oeko!EX535)</f>
        <v>1</v>
      </c>
      <c r="Y535" s="1979">
        <f>IF(Construction!$F$31=Construction!$R$22,Oeko!CL535,Oeko!EY535)</f>
        <v>1</v>
      </c>
      <c r="Z535" s="1979">
        <f>IF(Construction!$F$31=Construction!$R$22,Oeko!CM535,Oeko!EZ535)</f>
        <v>1</v>
      </c>
      <c r="AA535" s="1979">
        <f>IF(Construction!$F$31=Construction!$R$22,Oeko!CN535,Oeko!FA535)</f>
        <v>1</v>
      </c>
      <c r="AB535" s="1979">
        <f>IF(Construction!$F$31=Construction!$R$22,Oeko!CO535,Oeko!FB535)</f>
        <v>1</v>
      </c>
      <c r="AC535" s="1998">
        <f>IF(Construction!$F$31=Construction!$R$22,Oeko!CP535,Oeko!FC535)</f>
        <v>1</v>
      </c>
      <c r="AD535" s="1998">
        <f>IF(Construction!$F$31=Construction!$R$22,Oeko!CQ535,Oeko!FD535)</f>
        <v>1</v>
      </c>
      <c r="AE535" s="1998">
        <f>IF(Construction!$F$31=Construction!$R$22,Oeko!CR535,Oeko!FE535)</f>
        <v>1</v>
      </c>
      <c r="AF535" s="1998">
        <f>IF(Construction!$F$31=Construction!$R$22,Oeko!CS535,Oeko!FF535)</f>
        <v>1</v>
      </c>
      <c r="AG535" s="1998">
        <f>IF(Construction!$F$31=Construction!$R$22,Oeko!CT535,Oeko!FG535)</f>
        <v>1</v>
      </c>
      <c r="AH535" s="1979">
        <f>IF(Construction!$F$31=Construction!$R$22,Oeko!CU535,Oeko!FH535)</f>
        <v>1</v>
      </c>
      <c r="AI535" s="1979">
        <f>IF(Construction!$F$31=Construction!$R$22,Oeko!CV535,Oeko!FI535)</f>
        <v>1</v>
      </c>
      <c r="AJ535" s="1979">
        <f>IF(Construction!$F$31=Construction!$R$22,Oeko!CW535,Oeko!FJ535)</f>
        <v>1</v>
      </c>
      <c r="AK535" s="1979">
        <f>IF(Construction!$F$31=Construction!$R$22,Oeko!CX535,Oeko!FK535)</f>
        <v>1</v>
      </c>
      <c r="AL535" s="1979">
        <f>IF(Construction!$F$31=Construction!$R$22,Oeko!CY535,Oeko!FL535)</f>
        <v>1</v>
      </c>
      <c r="AM535" s="1998">
        <f>IF(Construction!$F$31=Construction!$R$22,Oeko!CZ535,Oeko!FM535)</f>
        <v>1</v>
      </c>
      <c r="AN535" s="1998">
        <f>IF(Construction!$F$31=Construction!$R$22,Oeko!DA535,Oeko!FN535)</f>
        <v>1</v>
      </c>
      <c r="AO535" s="1998">
        <f>IF(Construction!$F$31=Construction!$R$22,Oeko!DB535,Oeko!FO535)</f>
        <v>1</v>
      </c>
      <c r="AP535" s="1998">
        <f>IF(Construction!$F$31=Construction!$R$22,Oeko!DC535,Oeko!FP535)</f>
        <v>1</v>
      </c>
      <c r="AQ535" s="1998">
        <f>IF(Construction!$F$31=Construction!$R$22,Oeko!DD535,Oeko!FQ535)</f>
        <v>1</v>
      </c>
      <c r="AR535" s="1979">
        <f>IF(Construction!$F$31=Construction!$R$22,Oeko!DE535,Oeko!FR535)</f>
        <v>1</v>
      </c>
      <c r="AS535" s="1979">
        <f>IF(Construction!$F$31=Construction!$R$22,Oeko!DF535,Oeko!FS535)</f>
        <v>1</v>
      </c>
      <c r="AT535" s="1979">
        <f>IF(Construction!$F$31=Construction!$R$22,Oeko!DG535,Oeko!FT535)</f>
        <v>1</v>
      </c>
      <c r="AU535" s="1979">
        <f>IF(Construction!$F$31=Construction!$R$22,Oeko!DH535,Oeko!FU535)</f>
        <v>1</v>
      </c>
      <c r="AV535" s="1979">
        <f>IF(Construction!$F$31=Construction!$R$22,Oeko!DI535,Oeko!FV535)</f>
        <v>1</v>
      </c>
      <c r="AW535" s="1998">
        <f>IF(Construction!$F$31=Construction!$R$22,Oeko!DJ535,Oeko!FW535)</f>
        <v>1</v>
      </c>
      <c r="AX535" s="1998">
        <f>IF(Construction!$F$31=Construction!$R$22,Oeko!DK535,Oeko!FX535)</f>
        <v>1</v>
      </c>
      <c r="AY535" s="1998">
        <f>IF(Construction!$F$31=Construction!$R$22,Oeko!DL535,Oeko!FY535)</f>
        <v>1</v>
      </c>
      <c r="AZ535" s="1998">
        <f>IF(Construction!$F$31=Construction!$R$22,Oeko!DM535,Oeko!FZ535)</f>
        <v>1</v>
      </c>
      <c r="BA535" s="1998">
        <f>IF(Construction!$F$31=Construction!$R$22,Oeko!DN535,Oeko!GA535)</f>
        <v>1</v>
      </c>
      <c r="BB535" s="1979">
        <f>IF(Construction!$F$31=Construction!$R$22,Oeko!DO535,Oeko!GB535)</f>
        <v>1</v>
      </c>
      <c r="BC535" s="1979">
        <f>IF(Construction!$F$31=Construction!$R$22,Oeko!DP535,Oeko!GC535)</f>
        <v>1</v>
      </c>
      <c r="BD535" s="1979">
        <f>IF(Construction!$F$31=Construction!$R$22,Oeko!DQ535,Oeko!GD535)</f>
        <v>1</v>
      </c>
      <c r="BE535" s="1979">
        <f>IF(Construction!$F$31=Construction!$R$22,Oeko!DR535,Oeko!GE535)</f>
        <v>1</v>
      </c>
      <c r="BF535" s="1979">
        <f>IF(Construction!$F$31=Construction!$R$22,Oeko!DS535,Oeko!GF535)</f>
        <v>1</v>
      </c>
      <c r="BG535" s="1998">
        <f>IF(Construction!$F$31=Construction!$R$22,Oeko!DT535,Oeko!GG535)</f>
        <v>1</v>
      </c>
      <c r="BH535" s="1998">
        <f>IF(Construction!$F$31=Construction!$R$22,Oeko!DU535,Oeko!GH535)</f>
        <v>1</v>
      </c>
      <c r="BI535" s="1998">
        <f>IF(Construction!$F$31=Construction!$R$22,Oeko!DV535,Oeko!GI535)</f>
        <v>1</v>
      </c>
      <c r="BJ535" s="1998">
        <f>IF(Construction!$F$31=Construction!$R$22,Oeko!DW535,Oeko!GJ535)</f>
        <v>1</v>
      </c>
      <c r="BK535" s="2026">
        <f>IF(Construction!$F$31=Construction!$R$22,Oeko!DX535,Oeko!GK535)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IF(Construction!$F$31=Construction!$R$22,Oeko!BQ536,Oeko!ED536)</f>
        <v>0</v>
      </c>
      <c r="E536" s="1979">
        <f>IF(Construction!$F$31=Construction!$R$22,Oeko!BR536,Oeko!EE536)</f>
        <v>0</v>
      </c>
      <c r="F536" s="1979">
        <f>IF(Construction!$F$31=Construction!$R$22,Oeko!BS536,Oeko!EF536)</f>
        <v>0</v>
      </c>
      <c r="G536" s="1979">
        <f>IF(Construction!$F$31=Construction!$R$22,Oeko!BT536,Oeko!EG536)</f>
        <v>0</v>
      </c>
      <c r="H536" s="1979">
        <f>IF(Construction!$F$31=Construction!$R$22,Oeko!BU536,Oeko!EH536)</f>
        <v>0</v>
      </c>
      <c r="I536" s="1998">
        <f>IF(Construction!$F$31=Construction!$R$22,Oeko!BV536,Oeko!EI536)</f>
        <v>1</v>
      </c>
      <c r="J536" s="1998">
        <f>IF(Construction!$F$31=Construction!$R$22,Oeko!BW536,Oeko!EJ536)</f>
        <v>1</v>
      </c>
      <c r="K536" s="1998">
        <f>IF(Construction!$F$31=Construction!$R$22,Oeko!BX536,Oeko!EK536)</f>
        <v>1</v>
      </c>
      <c r="L536" s="1998">
        <f>IF(Construction!$F$31=Construction!$R$22,Oeko!BY536,Oeko!EL536)</f>
        <v>1</v>
      </c>
      <c r="M536" s="1998">
        <f>IF(Construction!$F$31=Construction!$R$22,Oeko!BZ536,Oeko!EM536)</f>
        <v>1</v>
      </c>
      <c r="N536" s="1979">
        <f>IF(Construction!$F$31=Construction!$R$22,Oeko!CA536,Oeko!EN536)</f>
        <v>1</v>
      </c>
      <c r="O536" s="1979">
        <f>IF(Construction!$F$31=Construction!$R$22,Oeko!CB536,Oeko!EO536)</f>
        <v>1</v>
      </c>
      <c r="P536" s="1979">
        <f>IF(Construction!$F$31=Construction!$R$22,Oeko!CC536,Oeko!EP536)</f>
        <v>1</v>
      </c>
      <c r="Q536" s="1979">
        <f>IF(Construction!$F$31=Construction!$R$22,Oeko!CD536,Oeko!EQ536)</f>
        <v>1</v>
      </c>
      <c r="R536" s="1979">
        <f>IF(Construction!$F$31=Construction!$R$22,Oeko!CE536,Oeko!ER536)</f>
        <v>1</v>
      </c>
      <c r="S536" s="1998">
        <f>IF(Construction!$F$31=Construction!$R$22,Oeko!CF536,Oeko!ES536)</f>
        <v>1</v>
      </c>
      <c r="T536" s="1998">
        <f>IF(Construction!$F$31=Construction!$R$22,Oeko!CG536,Oeko!ET536)</f>
        <v>1</v>
      </c>
      <c r="U536" s="1998">
        <f>IF(Construction!$F$31=Construction!$R$22,Oeko!CH536,Oeko!EU536)</f>
        <v>1</v>
      </c>
      <c r="V536" s="1998">
        <f>IF(Construction!$F$31=Construction!$R$22,Oeko!CI536,Oeko!EV536)</f>
        <v>1</v>
      </c>
      <c r="W536" s="1998">
        <f>IF(Construction!$F$31=Construction!$R$22,Oeko!CJ536,Oeko!EW536)</f>
        <v>1</v>
      </c>
      <c r="X536" s="1979">
        <f>IF(Construction!$F$31=Construction!$R$22,Oeko!CK536,Oeko!EX536)</f>
        <v>1</v>
      </c>
      <c r="Y536" s="1979">
        <f>IF(Construction!$F$31=Construction!$R$22,Oeko!CL536,Oeko!EY536)</f>
        <v>1</v>
      </c>
      <c r="Z536" s="1979">
        <f>IF(Construction!$F$31=Construction!$R$22,Oeko!CM536,Oeko!EZ536)</f>
        <v>1</v>
      </c>
      <c r="AA536" s="1979">
        <f>IF(Construction!$F$31=Construction!$R$22,Oeko!CN536,Oeko!FA536)</f>
        <v>1</v>
      </c>
      <c r="AB536" s="1979">
        <f>IF(Construction!$F$31=Construction!$R$22,Oeko!CO536,Oeko!FB536)</f>
        <v>1</v>
      </c>
      <c r="AC536" s="1998">
        <f>IF(Construction!$F$31=Construction!$R$22,Oeko!CP536,Oeko!FC536)</f>
        <v>1</v>
      </c>
      <c r="AD536" s="1998">
        <f>IF(Construction!$F$31=Construction!$R$22,Oeko!CQ536,Oeko!FD536)</f>
        <v>1</v>
      </c>
      <c r="AE536" s="1998">
        <f>IF(Construction!$F$31=Construction!$R$22,Oeko!CR536,Oeko!FE536)</f>
        <v>1</v>
      </c>
      <c r="AF536" s="1998">
        <f>IF(Construction!$F$31=Construction!$R$22,Oeko!CS536,Oeko!FF536)</f>
        <v>1</v>
      </c>
      <c r="AG536" s="1998">
        <f>IF(Construction!$F$31=Construction!$R$22,Oeko!CT536,Oeko!FG536)</f>
        <v>1</v>
      </c>
      <c r="AH536" s="1979">
        <f>IF(Construction!$F$31=Construction!$R$22,Oeko!CU536,Oeko!FH536)</f>
        <v>1</v>
      </c>
      <c r="AI536" s="1979">
        <f>IF(Construction!$F$31=Construction!$R$22,Oeko!CV536,Oeko!FI536)</f>
        <v>1</v>
      </c>
      <c r="AJ536" s="1979">
        <f>IF(Construction!$F$31=Construction!$R$22,Oeko!CW536,Oeko!FJ536)</f>
        <v>1</v>
      </c>
      <c r="AK536" s="1979">
        <f>IF(Construction!$F$31=Construction!$R$22,Oeko!CX536,Oeko!FK536)</f>
        <v>1</v>
      </c>
      <c r="AL536" s="1979">
        <f>IF(Construction!$F$31=Construction!$R$22,Oeko!CY536,Oeko!FL536)</f>
        <v>1</v>
      </c>
      <c r="AM536" s="1998">
        <f>IF(Construction!$F$31=Construction!$R$22,Oeko!CZ536,Oeko!FM536)</f>
        <v>1</v>
      </c>
      <c r="AN536" s="1998">
        <f>IF(Construction!$F$31=Construction!$R$22,Oeko!DA536,Oeko!FN536)</f>
        <v>1</v>
      </c>
      <c r="AO536" s="1998">
        <f>IF(Construction!$F$31=Construction!$R$22,Oeko!DB536,Oeko!FO536)</f>
        <v>1</v>
      </c>
      <c r="AP536" s="1998">
        <f>IF(Construction!$F$31=Construction!$R$22,Oeko!DC536,Oeko!FP536)</f>
        <v>1</v>
      </c>
      <c r="AQ536" s="1998">
        <f>IF(Construction!$F$31=Construction!$R$22,Oeko!DD536,Oeko!FQ536)</f>
        <v>1</v>
      </c>
      <c r="AR536" s="1979">
        <f>IF(Construction!$F$31=Construction!$R$22,Oeko!DE536,Oeko!FR536)</f>
        <v>1</v>
      </c>
      <c r="AS536" s="1979">
        <f>IF(Construction!$F$31=Construction!$R$22,Oeko!DF536,Oeko!FS536)</f>
        <v>1</v>
      </c>
      <c r="AT536" s="1979">
        <f>IF(Construction!$F$31=Construction!$R$22,Oeko!DG536,Oeko!FT536)</f>
        <v>1</v>
      </c>
      <c r="AU536" s="1979">
        <f>IF(Construction!$F$31=Construction!$R$22,Oeko!DH536,Oeko!FU536)</f>
        <v>1</v>
      </c>
      <c r="AV536" s="1979">
        <f>IF(Construction!$F$31=Construction!$R$22,Oeko!DI536,Oeko!FV536)</f>
        <v>1</v>
      </c>
      <c r="AW536" s="1998">
        <f>IF(Construction!$F$31=Construction!$R$22,Oeko!DJ536,Oeko!FW536)</f>
        <v>1</v>
      </c>
      <c r="AX536" s="1998">
        <f>IF(Construction!$F$31=Construction!$R$22,Oeko!DK536,Oeko!FX536)</f>
        <v>1</v>
      </c>
      <c r="AY536" s="1998">
        <f>IF(Construction!$F$31=Construction!$R$22,Oeko!DL536,Oeko!FY536)</f>
        <v>1</v>
      </c>
      <c r="AZ536" s="1998">
        <f>IF(Construction!$F$31=Construction!$R$22,Oeko!DM536,Oeko!FZ536)</f>
        <v>1</v>
      </c>
      <c r="BA536" s="1998">
        <f>IF(Construction!$F$31=Construction!$R$22,Oeko!DN536,Oeko!GA536)</f>
        <v>1</v>
      </c>
      <c r="BB536" s="1979">
        <f>IF(Construction!$F$31=Construction!$R$22,Oeko!DO536,Oeko!GB536)</f>
        <v>1</v>
      </c>
      <c r="BC536" s="1979">
        <f>IF(Construction!$F$31=Construction!$R$22,Oeko!DP536,Oeko!GC536)</f>
        <v>1</v>
      </c>
      <c r="BD536" s="1979">
        <f>IF(Construction!$F$31=Construction!$R$22,Oeko!DQ536,Oeko!GD536)</f>
        <v>1</v>
      </c>
      <c r="BE536" s="1979">
        <f>IF(Construction!$F$31=Construction!$R$22,Oeko!DR536,Oeko!GE536)</f>
        <v>1</v>
      </c>
      <c r="BF536" s="1979">
        <f>IF(Construction!$F$31=Construction!$R$22,Oeko!DS536,Oeko!GF536)</f>
        <v>1</v>
      </c>
      <c r="BG536" s="1998">
        <f>IF(Construction!$F$31=Construction!$R$22,Oeko!DT536,Oeko!GG536)</f>
        <v>1</v>
      </c>
      <c r="BH536" s="1998">
        <f>IF(Construction!$F$31=Construction!$R$22,Oeko!DU536,Oeko!GH536)</f>
        <v>1</v>
      </c>
      <c r="BI536" s="1998">
        <f>IF(Construction!$F$31=Construction!$R$22,Oeko!DV536,Oeko!GI536)</f>
        <v>1</v>
      </c>
      <c r="BJ536" s="1998">
        <f>IF(Construction!$F$31=Construction!$R$22,Oeko!DW536,Oeko!GJ536)</f>
        <v>1</v>
      </c>
      <c r="BK536" s="2026">
        <f>IF(Construction!$F$31=Construction!$R$22,Oeko!DX536,Oeko!GK536)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IF(Construction!$F$31=Construction!$R$22,Oeko!BQ537,Oeko!ED537)</f>
        <v>0</v>
      </c>
      <c r="E537" s="1979">
        <f>IF(Construction!$F$31=Construction!$R$22,Oeko!BR537,Oeko!EE537)</f>
        <v>0</v>
      </c>
      <c r="F537" s="1979">
        <f>IF(Construction!$F$31=Construction!$R$22,Oeko!BS537,Oeko!EF537)</f>
        <v>0</v>
      </c>
      <c r="G537" s="1979">
        <f>IF(Construction!$F$31=Construction!$R$22,Oeko!BT537,Oeko!EG537)</f>
        <v>0</v>
      </c>
      <c r="H537" s="1979">
        <f>IF(Construction!$F$31=Construction!$R$22,Oeko!BU537,Oeko!EH537)</f>
        <v>0</v>
      </c>
      <c r="I537" s="1998">
        <f>IF(Construction!$F$31=Construction!$R$22,Oeko!BV537,Oeko!EI537)</f>
        <v>1</v>
      </c>
      <c r="J537" s="1998">
        <f>IF(Construction!$F$31=Construction!$R$22,Oeko!BW537,Oeko!EJ537)</f>
        <v>1</v>
      </c>
      <c r="K537" s="1998">
        <f>IF(Construction!$F$31=Construction!$R$22,Oeko!BX537,Oeko!EK537)</f>
        <v>1</v>
      </c>
      <c r="L537" s="1998">
        <f>IF(Construction!$F$31=Construction!$R$22,Oeko!BY537,Oeko!EL537)</f>
        <v>1</v>
      </c>
      <c r="M537" s="1998">
        <f>IF(Construction!$F$31=Construction!$R$22,Oeko!BZ537,Oeko!EM537)</f>
        <v>1</v>
      </c>
      <c r="N537" s="1979">
        <f>IF(Construction!$F$31=Construction!$R$22,Oeko!CA537,Oeko!EN537)</f>
        <v>1</v>
      </c>
      <c r="O537" s="1979">
        <f>IF(Construction!$F$31=Construction!$R$22,Oeko!CB537,Oeko!EO537)</f>
        <v>1</v>
      </c>
      <c r="P537" s="1979">
        <f>IF(Construction!$F$31=Construction!$R$22,Oeko!CC537,Oeko!EP537)</f>
        <v>1</v>
      </c>
      <c r="Q537" s="1979">
        <f>IF(Construction!$F$31=Construction!$R$22,Oeko!CD537,Oeko!EQ537)</f>
        <v>1</v>
      </c>
      <c r="R537" s="1979">
        <f>IF(Construction!$F$31=Construction!$R$22,Oeko!CE537,Oeko!ER537)</f>
        <v>1</v>
      </c>
      <c r="S537" s="1998">
        <f>IF(Construction!$F$31=Construction!$R$22,Oeko!CF537,Oeko!ES537)</f>
        <v>1</v>
      </c>
      <c r="T537" s="1998">
        <f>IF(Construction!$F$31=Construction!$R$22,Oeko!CG537,Oeko!ET537)</f>
        <v>1</v>
      </c>
      <c r="U537" s="1998">
        <f>IF(Construction!$F$31=Construction!$R$22,Oeko!CH537,Oeko!EU537)</f>
        <v>1</v>
      </c>
      <c r="V537" s="1998">
        <f>IF(Construction!$F$31=Construction!$R$22,Oeko!CI537,Oeko!EV537)</f>
        <v>1</v>
      </c>
      <c r="W537" s="1998">
        <f>IF(Construction!$F$31=Construction!$R$22,Oeko!CJ537,Oeko!EW537)</f>
        <v>1</v>
      </c>
      <c r="X537" s="1979">
        <f>IF(Construction!$F$31=Construction!$R$22,Oeko!CK537,Oeko!EX537)</f>
        <v>1</v>
      </c>
      <c r="Y537" s="1979">
        <f>IF(Construction!$F$31=Construction!$R$22,Oeko!CL537,Oeko!EY537)</f>
        <v>1</v>
      </c>
      <c r="Z537" s="1979">
        <f>IF(Construction!$F$31=Construction!$R$22,Oeko!CM537,Oeko!EZ537)</f>
        <v>1</v>
      </c>
      <c r="AA537" s="1979">
        <f>IF(Construction!$F$31=Construction!$R$22,Oeko!CN537,Oeko!FA537)</f>
        <v>1</v>
      </c>
      <c r="AB537" s="1979">
        <f>IF(Construction!$F$31=Construction!$R$22,Oeko!CO537,Oeko!FB537)</f>
        <v>1</v>
      </c>
      <c r="AC537" s="1998">
        <f>IF(Construction!$F$31=Construction!$R$22,Oeko!CP537,Oeko!FC537)</f>
        <v>1</v>
      </c>
      <c r="AD537" s="1998">
        <f>IF(Construction!$F$31=Construction!$R$22,Oeko!CQ537,Oeko!FD537)</f>
        <v>1</v>
      </c>
      <c r="AE537" s="1998">
        <f>IF(Construction!$F$31=Construction!$R$22,Oeko!CR537,Oeko!FE537)</f>
        <v>1</v>
      </c>
      <c r="AF537" s="1998">
        <f>IF(Construction!$F$31=Construction!$R$22,Oeko!CS537,Oeko!FF537)</f>
        <v>1</v>
      </c>
      <c r="AG537" s="1998">
        <f>IF(Construction!$F$31=Construction!$R$22,Oeko!CT537,Oeko!FG537)</f>
        <v>1</v>
      </c>
      <c r="AH537" s="1979">
        <f>IF(Construction!$F$31=Construction!$R$22,Oeko!CU537,Oeko!FH537)</f>
        <v>1</v>
      </c>
      <c r="AI537" s="1979">
        <f>IF(Construction!$F$31=Construction!$R$22,Oeko!CV537,Oeko!FI537)</f>
        <v>1</v>
      </c>
      <c r="AJ537" s="1979">
        <f>IF(Construction!$F$31=Construction!$R$22,Oeko!CW537,Oeko!FJ537)</f>
        <v>1</v>
      </c>
      <c r="AK537" s="1979">
        <f>IF(Construction!$F$31=Construction!$R$22,Oeko!CX537,Oeko!FK537)</f>
        <v>1</v>
      </c>
      <c r="AL537" s="1979">
        <f>IF(Construction!$F$31=Construction!$R$22,Oeko!CY537,Oeko!FL537)</f>
        <v>1</v>
      </c>
      <c r="AM537" s="1998">
        <f>IF(Construction!$F$31=Construction!$R$22,Oeko!CZ537,Oeko!FM537)</f>
        <v>1</v>
      </c>
      <c r="AN537" s="1998">
        <f>IF(Construction!$F$31=Construction!$R$22,Oeko!DA537,Oeko!FN537)</f>
        <v>1</v>
      </c>
      <c r="AO537" s="1998">
        <f>IF(Construction!$F$31=Construction!$R$22,Oeko!DB537,Oeko!FO537)</f>
        <v>1</v>
      </c>
      <c r="AP537" s="1998">
        <f>IF(Construction!$F$31=Construction!$R$22,Oeko!DC537,Oeko!FP537)</f>
        <v>1</v>
      </c>
      <c r="AQ537" s="1998">
        <f>IF(Construction!$F$31=Construction!$R$22,Oeko!DD537,Oeko!FQ537)</f>
        <v>1</v>
      </c>
      <c r="AR537" s="1979">
        <f>IF(Construction!$F$31=Construction!$R$22,Oeko!DE537,Oeko!FR537)</f>
        <v>1</v>
      </c>
      <c r="AS537" s="1979">
        <f>IF(Construction!$F$31=Construction!$R$22,Oeko!DF537,Oeko!FS537)</f>
        <v>1</v>
      </c>
      <c r="AT537" s="1979">
        <f>IF(Construction!$F$31=Construction!$R$22,Oeko!DG537,Oeko!FT537)</f>
        <v>1</v>
      </c>
      <c r="AU537" s="1979">
        <f>IF(Construction!$F$31=Construction!$R$22,Oeko!DH537,Oeko!FU537)</f>
        <v>1</v>
      </c>
      <c r="AV537" s="1979">
        <f>IF(Construction!$F$31=Construction!$R$22,Oeko!DI537,Oeko!FV537)</f>
        <v>1</v>
      </c>
      <c r="AW537" s="1998">
        <f>IF(Construction!$F$31=Construction!$R$22,Oeko!DJ537,Oeko!FW537)</f>
        <v>1</v>
      </c>
      <c r="AX537" s="1998">
        <f>IF(Construction!$F$31=Construction!$R$22,Oeko!DK537,Oeko!FX537)</f>
        <v>1</v>
      </c>
      <c r="AY537" s="1998">
        <f>IF(Construction!$F$31=Construction!$R$22,Oeko!DL537,Oeko!FY537)</f>
        <v>1</v>
      </c>
      <c r="AZ537" s="1998">
        <f>IF(Construction!$F$31=Construction!$R$22,Oeko!DM537,Oeko!FZ537)</f>
        <v>1</v>
      </c>
      <c r="BA537" s="1998">
        <f>IF(Construction!$F$31=Construction!$R$22,Oeko!DN537,Oeko!GA537)</f>
        <v>1</v>
      </c>
      <c r="BB537" s="1979">
        <f>IF(Construction!$F$31=Construction!$R$22,Oeko!DO537,Oeko!GB537)</f>
        <v>1</v>
      </c>
      <c r="BC537" s="1979">
        <f>IF(Construction!$F$31=Construction!$R$22,Oeko!DP537,Oeko!GC537)</f>
        <v>1</v>
      </c>
      <c r="BD537" s="1979">
        <f>IF(Construction!$F$31=Construction!$R$22,Oeko!DQ537,Oeko!GD537)</f>
        <v>1</v>
      </c>
      <c r="BE537" s="1979">
        <f>IF(Construction!$F$31=Construction!$R$22,Oeko!DR537,Oeko!GE537)</f>
        <v>1</v>
      </c>
      <c r="BF537" s="1979">
        <f>IF(Construction!$F$31=Construction!$R$22,Oeko!DS537,Oeko!GF537)</f>
        <v>1</v>
      </c>
      <c r="BG537" s="1998">
        <f>IF(Construction!$F$31=Construction!$R$22,Oeko!DT537,Oeko!GG537)</f>
        <v>1</v>
      </c>
      <c r="BH537" s="1998">
        <f>IF(Construction!$F$31=Construction!$R$22,Oeko!DU537,Oeko!GH537)</f>
        <v>1</v>
      </c>
      <c r="BI537" s="1998">
        <f>IF(Construction!$F$31=Construction!$R$22,Oeko!DV537,Oeko!GI537)</f>
        <v>1</v>
      </c>
      <c r="BJ537" s="1998">
        <f>IF(Construction!$F$31=Construction!$R$22,Oeko!DW537,Oeko!GJ537)</f>
        <v>1</v>
      </c>
      <c r="BK537" s="2026">
        <f>IF(Construction!$F$31=Construction!$R$22,Oeko!DX537,Oeko!GK537)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IF(Construction!$F$31=Construction!$R$22,Oeko!BQ538,Oeko!ED538)</f>
        <v>0</v>
      </c>
      <c r="E538" s="1979">
        <f>IF(Construction!$F$31=Construction!$R$22,Oeko!BR538,Oeko!EE538)</f>
        <v>0</v>
      </c>
      <c r="F538" s="1979">
        <f>IF(Construction!$F$31=Construction!$R$22,Oeko!BS538,Oeko!EF538)</f>
        <v>0</v>
      </c>
      <c r="G538" s="1979">
        <f>IF(Construction!$F$31=Construction!$R$22,Oeko!BT538,Oeko!EG538)</f>
        <v>0</v>
      </c>
      <c r="H538" s="1979">
        <f>IF(Construction!$F$31=Construction!$R$22,Oeko!BU538,Oeko!EH538)</f>
        <v>0</v>
      </c>
      <c r="I538" s="1998">
        <f>IF(Construction!$F$31=Construction!$R$22,Oeko!BV538,Oeko!EI538)</f>
        <v>1</v>
      </c>
      <c r="J538" s="1998">
        <f>IF(Construction!$F$31=Construction!$R$22,Oeko!BW538,Oeko!EJ538)</f>
        <v>1</v>
      </c>
      <c r="K538" s="1998">
        <f>IF(Construction!$F$31=Construction!$R$22,Oeko!BX538,Oeko!EK538)</f>
        <v>1</v>
      </c>
      <c r="L538" s="1998">
        <f>IF(Construction!$F$31=Construction!$R$22,Oeko!BY538,Oeko!EL538)</f>
        <v>1</v>
      </c>
      <c r="M538" s="1998">
        <f>IF(Construction!$F$31=Construction!$R$22,Oeko!BZ538,Oeko!EM538)</f>
        <v>1</v>
      </c>
      <c r="N538" s="1979">
        <f>IF(Construction!$F$31=Construction!$R$22,Oeko!CA538,Oeko!EN538)</f>
        <v>1</v>
      </c>
      <c r="O538" s="1979">
        <f>IF(Construction!$F$31=Construction!$R$22,Oeko!CB538,Oeko!EO538)</f>
        <v>1</v>
      </c>
      <c r="P538" s="1979">
        <f>IF(Construction!$F$31=Construction!$R$22,Oeko!CC538,Oeko!EP538)</f>
        <v>1</v>
      </c>
      <c r="Q538" s="1979">
        <f>IF(Construction!$F$31=Construction!$R$22,Oeko!CD538,Oeko!EQ538)</f>
        <v>1</v>
      </c>
      <c r="R538" s="1979">
        <f>IF(Construction!$F$31=Construction!$R$22,Oeko!CE538,Oeko!ER538)</f>
        <v>1</v>
      </c>
      <c r="S538" s="1998">
        <f>IF(Construction!$F$31=Construction!$R$22,Oeko!CF538,Oeko!ES538)</f>
        <v>1</v>
      </c>
      <c r="T538" s="1998">
        <f>IF(Construction!$F$31=Construction!$R$22,Oeko!CG538,Oeko!ET538)</f>
        <v>1</v>
      </c>
      <c r="U538" s="1998">
        <f>IF(Construction!$F$31=Construction!$R$22,Oeko!CH538,Oeko!EU538)</f>
        <v>1</v>
      </c>
      <c r="V538" s="1998">
        <f>IF(Construction!$F$31=Construction!$R$22,Oeko!CI538,Oeko!EV538)</f>
        <v>1</v>
      </c>
      <c r="W538" s="1998">
        <f>IF(Construction!$F$31=Construction!$R$22,Oeko!CJ538,Oeko!EW538)</f>
        <v>1</v>
      </c>
      <c r="X538" s="1979">
        <f>IF(Construction!$F$31=Construction!$R$22,Oeko!CK538,Oeko!EX538)</f>
        <v>1</v>
      </c>
      <c r="Y538" s="1979">
        <f>IF(Construction!$F$31=Construction!$R$22,Oeko!CL538,Oeko!EY538)</f>
        <v>1</v>
      </c>
      <c r="Z538" s="1979">
        <f>IF(Construction!$F$31=Construction!$R$22,Oeko!CM538,Oeko!EZ538)</f>
        <v>1</v>
      </c>
      <c r="AA538" s="1979">
        <f>IF(Construction!$F$31=Construction!$R$22,Oeko!CN538,Oeko!FA538)</f>
        <v>1</v>
      </c>
      <c r="AB538" s="1979">
        <f>IF(Construction!$F$31=Construction!$R$22,Oeko!CO538,Oeko!FB538)</f>
        <v>1</v>
      </c>
      <c r="AC538" s="1998">
        <f>IF(Construction!$F$31=Construction!$R$22,Oeko!CP538,Oeko!FC538)</f>
        <v>1</v>
      </c>
      <c r="AD538" s="1998">
        <f>IF(Construction!$F$31=Construction!$R$22,Oeko!CQ538,Oeko!FD538)</f>
        <v>1</v>
      </c>
      <c r="AE538" s="1998">
        <f>IF(Construction!$F$31=Construction!$R$22,Oeko!CR538,Oeko!FE538)</f>
        <v>1</v>
      </c>
      <c r="AF538" s="1998">
        <f>IF(Construction!$F$31=Construction!$R$22,Oeko!CS538,Oeko!FF538)</f>
        <v>1</v>
      </c>
      <c r="AG538" s="1998">
        <f>IF(Construction!$F$31=Construction!$R$22,Oeko!CT538,Oeko!FG538)</f>
        <v>1</v>
      </c>
      <c r="AH538" s="1979">
        <f>IF(Construction!$F$31=Construction!$R$22,Oeko!CU538,Oeko!FH538)</f>
        <v>1</v>
      </c>
      <c r="AI538" s="1979">
        <f>IF(Construction!$F$31=Construction!$R$22,Oeko!CV538,Oeko!FI538)</f>
        <v>1</v>
      </c>
      <c r="AJ538" s="1979">
        <f>IF(Construction!$F$31=Construction!$R$22,Oeko!CW538,Oeko!FJ538)</f>
        <v>1</v>
      </c>
      <c r="AK538" s="1979">
        <f>IF(Construction!$F$31=Construction!$R$22,Oeko!CX538,Oeko!FK538)</f>
        <v>1</v>
      </c>
      <c r="AL538" s="1979">
        <f>IF(Construction!$F$31=Construction!$R$22,Oeko!CY538,Oeko!FL538)</f>
        <v>1</v>
      </c>
      <c r="AM538" s="1998">
        <f>IF(Construction!$F$31=Construction!$R$22,Oeko!CZ538,Oeko!FM538)</f>
        <v>1</v>
      </c>
      <c r="AN538" s="1998">
        <f>IF(Construction!$F$31=Construction!$R$22,Oeko!DA538,Oeko!FN538)</f>
        <v>1</v>
      </c>
      <c r="AO538" s="1998">
        <f>IF(Construction!$F$31=Construction!$R$22,Oeko!DB538,Oeko!FO538)</f>
        <v>1</v>
      </c>
      <c r="AP538" s="1998">
        <f>IF(Construction!$F$31=Construction!$R$22,Oeko!DC538,Oeko!FP538)</f>
        <v>1</v>
      </c>
      <c r="AQ538" s="1998">
        <f>IF(Construction!$F$31=Construction!$R$22,Oeko!DD538,Oeko!FQ538)</f>
        <v>1</v>
      </c>
      <c r="AR538" s="1979">
        <f>IF(Construction!$F$31=Construction!$R$22,Oeko!DE538,Oeko!FR538)</f>
        <v>1</v>
      </c>
      <c r="AS538" s="1979">
        <f>IF(Construction!$F$31=Construction!$R$22,Oeko!DF538,Oeko!FS538)</f>
        <v>1</v>
      </c>
      <c r="AT538" s="1979">
        <f>IF(Construction!$F$31=Construction!$R$22,Oeko!DG538,Oeko!FT538)</f>
        <v>1</v>
      </c>
      <c r="AU538" s="1979">
        <f>IF(Construction!$F$31=Construction!$R$22,Oeko!DH538,Oeko!FU538)</f>
        <v>1</v>
      </c>
      <c r="AV538" s="1979">
        <f>IF(Construction!$F$31=Construction!$R$22,Oeko!DI538,Oeko!FV538)</f>
        <v>1</v>
      </c>
      <c r="AW538" s="1998">
        <f>IF(Construction!$F$31=Construction!$R$22,Oeko!DJ538,Oeko!FW538)</f>
        <v>1</v>
      </c>
      <c r="AX538" s="1998">
        <f>IF(Construction!$F$31=Construction!$R$22,Oeko!DK538,Oeko!FX538)</f>
        <v>1</v>
      </c>
      <c r="AY538" s="1998">
        <f>IF(Construction!$F$31=Construction!$R$22,Oeko!DL538,Oeko!FY538)</f>
        <v>1</v>
      </c>
      <c r="AZ538" s="1998">
        <f>IF(Construction!$F$31=Construction!$R$22,Oeko!DM538,Oeko!FZ538)</f>
        <v>1</v>
      </c>
      <c r="BA538" s="1998">
        <f>IF(Construction!$F$31=Construction!$R$22,Oeko!DN538,Oeko!GA538)</f>
        <v>1</v>
      </c>
      <c r="BB538" s="1979">
        <f>IF(Construction!$F$31=Construction!$R$22,Oeko!DO538,Oeko!GB538)</f>
        <v>1</v>
      </c>
      <c r="BC538" s="1979">
        <f>IF(Construction!$F$31=Construction!$R$22,Oeko!DP538,Oeko!GC538)</f>
        <v>1</v>
      </c>
      <c r="BD538" s="1979">
        <f>IF(Construction!$F$31=Construction!$R$22,Oeko!DQ538,Oeko!GD538)</f>
        <v>1</v>
      </c>
      <c r="BE538" s="1979">
        <f>IF(Construction!$F$31=Construction!$R$22,Oeko!DR538,Oeko!GE538)</f>
        <v>1</v>
      </c>
      <c r="BF538" s="1979">
        <f>IF(Construction!$F$31=Construction!$R$22,Oeko!DS538,Oeko!GF538)</f>
        <v>1</v>
      </c>
      <c r="BG538" s="1998">
        <f>IF(Construction!$F$31=Construction!$R$22,Oeko!DT538,Oeko!GG538)</f>
        <v>1</v>
      </c>
      <c r="BH538" s="1998">
        <f>IF(Construction!$F$31=Construction!$R$22,Oeko!DU538,Oeko!GH538)</f>
        <v>1</v>
      </c>
      <c r="BI538" s="1998">
        <f>IF(Construction!$F$31=Construction!$R$22,Oeko!DV538,Oeko!GI538)</f>
        <v>1</v>
      </c>
      <c r="BJ538" s="1998">
        <f>IF(Construction!$F$31=Construction!$R$22,Oeko!DW538,Oeko!GJ538)</f>
        <v>1</v>
      </c>
      <c r="BK538" s="2026">
        <f>IF(Construction!$F$31=Construction!$R$22,Oeko!DX538,Oeko!GK538)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IF(Construction!$F$31=Construction!$R$22,Oeko!BQ539,Oeko!ED539)</f>
        <v>0</v>
      </c>
      <c r="E539" s="1979">
        <f>IF(Construction!$F$31=Construction!$R$22,Oeko!BR539,Oeko!EE539)</f>
        <v>0</v>
      </c>
      <c r="F539" s="1979">
        <f>IF(Construction!$F$31=Construction!$R$22,Oeko!BS539,Oeko!EF539)</f>
        <v>0</v>
      </c>
      <c r="G539" s="1979">
        <f>IF(Construction!$F$31=Construction!$R$22,Oeko!BT539,Oeko!EG539)</f>
        <v>0</v>
      </c>
      <c r="H539" s="1979">
        <f>IF(Construction!$F$31=Construction!$R$22,Oeko!BU539,Oeko!EH539)</f>
        <v>0</v>
      </c>
      <c r="I539" s="1998">
        <f>IF(Construction!$F$31=Construction!$R$22,Oeko!BV539,Oeko!EI539)</f>
        <v>1</v>
      </c>
      <c r="J539" s="1998">
        <f>IF(Construction!$F$31=Construction!$R$22,Oeko!BW539,Oeko!EJ539)</f>
        <v>1</v>
      </c>
      <c r="K539" s="1998">
        <f>IF(Construction!$F$31=Construction!$R$22,Oeko!BX539,Oeko!EK539)</f>
        <v>1</v>
      </c>
      <c r="L539" s="1998">
        <f>IF(Construction!$F$31=Construction!$R$22,Oeko!BY539,Oeko!EL539)</f>
        <v>1</v>
      </c>
      <c r="M539" s="1998">
        <f>IF(Construction!$F$31=Construction!$R$22,Oeko!BZ539,Oeko!EM539)</f>
        <v>1</v>
      </c>
      <c r="N539" s="1979">
        <f>IF(Construction!$F$31=Construction!$R$22,Oeko!CA539,Oeko!EN539)</f>
        <v>1</v>
      </c>
      <c r="O539" s="1979">
        <f>IF(Construction!$F$31=Construction!$R$22,Oeko!CB539,Oeko!EO539)</f>
        <v>1</v>
      </c>
      <c r="P539" s="1979">
        <f>IF(Construction!$F$31=Construction!$R$22,Oeko!CC539,Oeko!EP539)</f>
        <v>1</v>
      </c>
      <c r="Q539" s="1979">
        <f>IF(Construction!$F$31=Construction!$R$22,Oeko!CD539,Oeko!EQ539)</f>
        <v>1</v>
      </c>
      <c r="R539" s="1979">
        <f>IF(Construction!$F$31=Construction!$R$22,Oeko!CE539,Oeko!ER539)</f>
        <v>1</v>
      </c>
      <c r="S539" s="1998">
        <f>IF(Construction!$F$31=Construction!$R$22,Oeko!CF539,Oeko!ES539)</f>
        <v>1</v>
      </c>
      <c r="T539" s="1998">
        <f>IF(Construction!$F$31=Construction!$R$22,Oeko!CG539,Oeko!ET539)</f>
        <v>1</v>
      </c>
      <c r="U539" s="1998">
        <f>IF(Construction!$F$31=Construction!$R$22,Oeko!CH539,Oeko!EU539)</f>
        <v>1</v>
      </c>
      <c r="V539" s="1998">
        <f>IF(Construction!$F$31=Construction!$R$22,Oeko!CI539,Oeko!EV539)</f>
        <v>1</v>
      </c>
      <c r="W539" s="1998">
        <f>IF(Construction!$F$31=Construction!$R$22,Oeko!CJ539,Oeko!EW539)</f>
        <v>1</v>
      </c>
      <c r="X539" s="1979">
        <f>IF(Construction!$F$31=Construction!$R$22,Oeko!CK539,Oeko!EX539)</f>
        <v>1</v>
      </c>
      <c r="Y539" s="1979">
        <f>IF(Construction!$F$31=Construction!$R$22,Oeko!CL539,Oeko!EY539)</f>
        <v>1</v>
      </c>
      <c r="Z539" s="1979">
        <f>IF(Construction!$F$31=Construction!$R$22,Oeko!CM539,Oeko!EZ539)</f>
        <v>1</v>
      </c>
      <c r="AA539" s="1979">
        <f>IF(Construction!$F$31=Construction!$R$22,Oeko!CN539,Oeko!FA539)</f>
        <v>1</v>
      </c>
      <c r="AB539" s="1979">
        <f>IF(Construction!$F$31=Construction!$R$22,Oeko!CO539,Oeko!FB539)</f>
        <v>1</v>
      </c>
      <c r="AC539" s="1998">
        <f>IF(Construction!$F$31=Construction!$R$22,Oeko!CP539,Oeko!FC539)</f>
        <v>1</v>
      </c>
      <c r="AD539" s="1998">
        <f>IF(Construction!$F$31=Construction!$R$22,Oeko!CQ539,Oeko!FD539)</f>
        <v>1</v>
      </c>
      <c r="AE539" s="1998">
        <f>IF(Construction!$F$31=Construction!$R$22,Oeko!CR539,Oeko!FE539)</f>
        <v>1</v>
      </c>
      <c r="AF539" s="1998">
        <f>IF(Construction!$F$31=Construction!$R$22,Oeko!CS539,Oeko!FF539)</f>
        <v>1</v>
      </c>
      <c r="AG539" s="1998">
        <f>IF(Construction!$F$31=Construction!$R$22,Oeko!CT539,Oeko!FG539)</f>
        <v>1</v>
      </c>
      <c r="AH539" s="1979">
        <f>IF(Construction!$F$31=Construction!$R$22,Oeko!CU539,Oeko!FH539)</f>
        <v>1</v>
      </c>
      <c r="AI539" s="1979">
        <f>IF(Construction!$F$31=Construction!$R$22,Oeko!CV539,Oeko!FI539)</f>
        <v>1</v>
      </c>
      <c r="AJ539" s="1979">
        <f>IF(Construction!$F$31=Construction!$R$22,Oeko!CW539,Oeko!FJ539)</f>
        <v>1</v>
      </c>
      <c r="AK539" s="1979">
        <f>IF(Construction!$F$31=Construction!$R$22,Oeko!CX539,Oeko!FK539)</f>
        <v>1</v>
      </c>
      <c r="AL539" s="1979">
        <f>IF(Construction!$F$31=Construction!$R$22,Oeko!CY539,Oeko!FL539)</f>
        <v>1</v>
      </c>
      <c r="AM539" s="1998">
        <f>IF(Construction!$F$31=Construction!$R$22,Oeko!CZ539,Oeko!FM539)</f>
        <v>1</v>
      </c>
      <c r="AN539" s="1998">
        <f>IF(Construction!$F$31=Construction!$R$22,Oeko!DA539,Oeko!FN539)</f>
        <v>1</v>
      </c>
      <c r="AO539" s="1998">
        <f>IF(Construction!$F$31=Construction!$R$22,Oeko!DB539,Oeko!FO539)</f>
        <v>1</v>
      </c>
      <c r="AP539" s="1998">
        <f>IF(Construction!$F$31=Construction!$R$22,Oeko!DC539,Oeko!FP539)</f>
        <v>1</v>
      </c>
      <c r="AQ539" s="1998">
        <f>IF(Construction!$F$31=Construction!$R$22,Oeko!DD539,Oeko!FQ539)</f>
        <v>1</v>
      </c>
      <c r="AR539" s="1979">
        <f>IF(Construction!$F$31=Construction!$R$22,Oeko!DE539,Oeko!FR539)</f>
        <v>1</v>
      </c>
      <c r="AS539" s="1979">
        <f>IF(Construction!$F$31=Construction!$R$22,Oeko!DF539,Oeko!FS539)</f>
        <v>1</v>
      </c>
      <c r="AT539" s="1979">
        <f>IF(Construction!$F$31=Construction!$R$22,Oeko!DG539,Oeko!FT539)</f>
        <v>1</v>
      </c>
      <c r="AU539" s="1979">
        <f>IF(Construction!$F$31=Construction!$R$22,Oeko!DH539,Oeko!FU539)</f>
        <v>1</v>
      </c>
      <c r="AV539" s="1979">
        <f>IF(Construction!$F$31=Construction!$R$22,Oeko!DI539,Oeko!FV539)</f>
        <v>1</v>
      </c>
      <c r="AW539" s="1998">
        <f>IF(Construction!$F$31=Construction!$R$22,Oeko!DJ539,Oeko!FW539)</f>
        <v>1</v>
      </c>
      <c r="AX539" s="1998">
        <f>IF(Construction!$F$31=Construction!$R$22,Oeko!DK539,Oeko!FX539)</f>
        <v>1</v>
      </c>
      <c r="AY539" s="1998">
        <f>IF(Construction!$F$31=Construction!$R$22,Oeko!DL539,Oeko!FY539)</f>
        <v>1</v>
      </c>
      <c r="AZ539" s="1998">
        <f>IF(Construction!$F$31=Construction!$R$22,Oeko!DM539,Oeko!FZ539)</f>
        <v>1</v>
      </c>
      <c r="BA539" s="1998">
        <f>IF(Construction!$F$31=Construction!$R$22,Oeko!DN539,Oeko!GA539)</f>
        <v>1</v>
      </c>
      <c r="BB539" s="1979">
        <f>IF(Construction!$F$31=Construction!$R$22,Oeko!DO539,Oeko!GB539)</f>
        <v>1</v>
      </c>
      <c r="BC539" s="1979">
        <f>IF(Construction!$F$31=Construction!$R$22,Oeko!DP539,Oeko!GC539)</f>
        <v>1</v>
      </c>
      <c r="BD539" s="1979">
        <f>IF(Construction!$F$31=Construction!$R$22,Oeko!DQ539,Oeko!GD539)</f>
        <v>1</v>
      </c>
      <c r="BE539" s="1979">
        <f>IF(Construction!$F$31=Construction!$R$22,Oeko!DR539,Oeko!GE539)</f>
        <v>1</v>
      </c>
      <c r="BF539" s="1979">
        <f>IF(Construction!$F$31=Construction!$R$22,Oeko!DS539,Oeko!GF539)</f>
        <v>1</v>
      </c>
      <c r="BG539" s="1998">
        <f>IF(Construction!$F$31=Construction!$R$22,Oeko!DT539,Oeko!GG539)</f>
        <v>1</v>
      </c>
      <c r="BH539" s="1998">
        <f>IF(Construction!$F$31=Construction!$R$22,Oeko!DU539,Oeko!GH539)</f>
        <v>1</v>
      </c>
      <c r="BI539" s="1998">
        <f>IF(Construction!$F$31=Construction!$R$22,Oeko!DV539,Oeko!GI539)</f>
        <v>1</v>
      </c>
      <c r="BJ539" s="1998">
        <f>IF(Construction!$F$31=Construction!$R$22,Oeko!DW539,Oeko!GJ539)</f>
        <v>1</v>
      </c>
      <c r="BK539" s="2026">
        <f>IF(Construction!$F$31=Construction!$R$22,Oeko!DX539,Oeko!GK539)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IF(Construction!$F$31=Construction!$R$22,Oeko!BQ540,Oeko!ED540)</f>
        <v>0</v>
      </c>
      <c r="E540" s="1979">
        <f>IF(Construction!$F$31=Construction!$R$22,Oeko!BR540,Oeko!EE540)</f>
        <v>0</v>
      </c>
      <c r="F540" s="1979">
        <f>IF(Construction!$F$31=Construction!$R$22,Oeko!BS540,Oeko!EF540)</f>
        <v>0</v>
      </c>
      <c r="G540" s="1979">
        <f>IF(Construction!$F$31=Construction!$R$22,Oeko!BT540,Oeko!EG540)</f>
        <v>0</v>
      </c>
      <c r="H540" s="1979">
        <f>IF(Construction!$F$31=Construction!$R$22,Oeko!BU540,Oeko!EH540)</f>
        <v>0</v>
      </c>
      <c r="I540" s="1998">
        <f>IF(Construction!$F$31=Construction!$R$22,Oeko!BV540,Oeko!EI540)</f>
        <v>1</v>
      </c>
      <c r="J540" s="1998">
        <f>IF(Construction!$F$31=Construction!$R$22,Oeko!BW540,Oeko!EJ540)</f>
        <v>1</v>
      </c>
      <c r="K540" s="1998">
        <f>IF(Construction!$F$31=Construction!$R$22,Oeko!BX540,Oeko!EK540)</f>
        <v>1</v>
      </c>
      <c r="L540" s="1998">
        <f>IF(Construction!$F$31=Construction!$R$22,Oeko!BY540,Oeko!EL540)</f>
        <v>1</v>
      </c>
      <c r="M540" s="1998">
        <f>IF(Construction!$F$31=Construction!$R$22,Oeko!BZ540,Oeko!EM540)</f>
        <v>1</v>
      </c>
      <c r="N540" s="1979">
        <f>IF(Construction!$F$31=Construction!$R$22,Oeko!CA540,Oeko!EN540)</f>
        <v>1</v>
      </c>
      <c r="O540" s="1979">
        <f>IF(Construction!$F$31=Construction!$R$22,Oeko!CB540,Oeko!EO540)</f>
        <v>1</v>
      </c>
      <c r="P540" s="1979">
        <f>IF(Construction!$F$31=Construction!$R$22,Oeko!CC540,Oeko!EP540)</f>
        <v>1</v>
      </c>
      <c r="Q540" s="1979">
        <f>IF(Construction!$F$31=Construction!$R$22,Oeko!CD540,Oeko!EQ540)</f>
        <v>1</v>
      </c>
      <c r="R540" s="1979">
        <f>IF(Construction!$F$31=Construction!$R$22,Oeko!CE540,Oeko!ER540)</f>
        <v>1</v>
      </c>
      <c r="S540" s="1998">
        <f>IF(Construction!$F$31=Construction!$R$22,Oeko!CF540,Oeko!ES540)</f>
        <v>1</v>
      </c>
      <c r="T540" s="1998">
        <f>IF(Construction!$F$31=Construction!$R$22,Oeko!CG540,Oeko!ET540)</f>
        <v>1</v>
      </c>
      <c r="U540" s="1998">
        <f>IF(Construction!$F$31=Construction!$R$22,Oeko!CH540,Oeko!EU540)</f>
        <v>1</v>
      </c>
      <c r="V540" s="1998">
        <f>IF(Construction!$F$31=Construction!$R$22,Oeko!CI540,Oeko!EV540)</f>
        <v>1</v>
      </c>
      <c r="W540" s="1998">
        <f>IF(Construction!$F$31=Construction!$R$22,Oeko!CJ540,Oeko!EW540)</f>
        <v>1</v>
      </c>
      <c r="X540" s="1979">
        <f>IF(Construction!$F$31=Construction!$R$22,Oeko!CK540,Oeko!EX540)</f>
        <v>1</v>
      </c>
      <c r="Y540" s="1979">
        <f>IF(Construction!$F$31=Construction!$R$22,Oeko!CL540,Oeko!EY540)</f>
        <v>1</v>
      </c>
      <c r="Z540" s="1979">
        <f>IF(Construction!$F$31=Construction!$R$22,Oeko!CM540,Oeko!EZ540)</f>
        <v>1</v>
      </c>
      <c r="AA540" s="1979">
        <f>IF(Construction!$F$31=Construction!$R$22,Oeko!CN540,Oeko!FA540)</f>
        <v>1</v>
      </c>
      <c r="AB540" s="1979">
        <f>IF(Construction!$F$31=Construction!$R$22,Oeko!CO540,Oeko!FB540)</f>
        <v>1</v>
      </c>
      <c r="AC540" s="1998">
        <f>IF(Construction!$F$31=Construction!$R$22,Oeko!CP540,Oeko!FC540)</f>
        <v>1</v>
      </c>
      <c r="AD540" s="1998">
        <f>IF(Construction!$F$31=Construction!$R$22,Oeko!CQ540,Oeko!FD540)</f>
        <v>1</v>
      </c>
      <c r="AE540" s="1998">
        <f>IF(Construction!$F$31=Construction!$R$22,Oeko!CR540,Oeko!FE540)</f>
        <v>1</v>
      </c>
      <c r="AF540" s="1998">
        <f>IF(Construction!$F$31=Construction!$R$22,Oeko!CS540,Oeko!FF540)</f>
        <v>1</v>
      </c>
      <c r="AG540" s="1998">
        <f>IF(Construction!$F$31=Construction!$R$22,Oeko!CT540,Oeko!FG540)</f>
        <v>1</v>
      </c>
      <c r="AH540" s="1979">
        <f>IF(Construction!$F$31=Construction!$R$22,Oeko!CU540,Oeko!FH540)</f>
        <v>1</v>
      </c>
      <c r="AI540" s="1979">
        <f>IF(Construction!$F$31=Construction!$R$22,Oeko!CV540,Oeko!FI540)</f>
        <v>1</v>
      </c>
      <c r="AJ540" s="1979">
        <f>IF(Construction!$F$31=Construction!$R$22,Oeko!CW540,Oeko!FJ540)</f>
        <v>1</v>
      </c>
      <c r="AK540" s="1979">
        <f>IF(Construction!$F$31=Construction!$R$22,Oeko!CX540,Oeko!FK540)</f>
        <v>1</v>
      </c>
      <c r="AL540" s="1979">
        <f>IF(Construction!$F$31=Construction!$R$22,Oeko!CY540,Oeko!FL540)</f>
        <v>1</v>
      </c>
      <c r="AM540" s="1998">
        <f>IF(Construction!$F$31=Construction!$R$22,Oeko!CZ540,Oeko!FM540)</f>
        <v>1</v>
      </c>
      <c r="AN540" s="1998">
        <f>IF(Construction!$F$31=Construction!$R$22,Oeko!DA540,Oeko!FN540)</f>
        <v>1</v>
      </c>
      <c r="AO540" s="1998">
        <f>IF(Construction!$F$31=Construction!$R$22,Oeko!DB540,Oeko!FO540)</f>
        <v>1</v>
      </c>
      <c r="AP540" s="1998">
        <f>IF(Construction!$F$31=Construction!$R$22,Oeko!DC540,Oeko!FP540)</f>
        <v>1</v>
      </c>
      <c r="AQ540" s="1998">
        <f>IF(Construction!$F$31=Construction!$R$22,Oeko!DD540,Oeko!FQ540)</f>
        <v>1</v>
      </c>
      <c r="AR540" s="1979">
        <f>IF(Construction!$F$31=Construction!$R$22,Oeko!DE540,Oeko!FR540)</f>
        <v>1</v>
      </c>
      <c r="AS540" s="1979">
        <f>IF(Construction!$F$31=Construction!$R$22,Oeko!DF540,Oeko!FS540)</f>
        <v>1</v>
      </c>
      <c r="AT540" s="1979">
        <f>IF(Construction!$F$31=Construction!$R$22,Oeko!DG540,Oeko!FT540)</f>
        <v>1</v>
      </c>
      <c r="AU540" s="1979">
        <f>IF(Construction!$F$31=Construction!$R$22,Oeko!DH540,Oeko!FU540)</f>
        <v>1</v>
      </c>
      <c r="AV540" s="1979">
        <f>IF(Construction!$F$31=Construction!$R$22,Oeko!DI540,Oeko!FV540)</f>
        <v>1</v>
      </c>
      <c r="AW540" s="1998">
        <f>IF(Construction!$F$31=Construction!$R$22,Oeko!DJ540,Oeko!FW540)</f>
        <v>1</v>
      </c>
      <c r="AX540" s="1998">
        <f>IF(Construction!$F$31=Construction!$R$22,Oeko!DK540,Oeko!FX540)</f>
        <v>1</v>
      </c>
      <c r="AY540" s="1998">
        <f>IF(Construction!$F$31=Construction!$R$22,Oeko!DL540,Oeko!FY540)</f>
        <v>1</v>
      </c>
      <c r="AZ540" s="1998">
        <f>IF(Construction!$F$31=Construction!$R$22,Oeko!DM540,Oeko!FZ540)</f>
        <v>1</v>
      </c>
      <c r="BA540" s="1998">
        <f>IF(Construction!$F$31=Construction!$R$22,Oeko!DN540,Oeko!GA540)</f>
        <v>1</v>
      </c>
      <c r="BB540" s="1979">
        <f>IF(Construction!$F$31=Construction!$R$22,Oeko!DO540,Oeko!GB540)</f>
        <v>1</v>
      </c>
      <c r="BC540" s="1979">
        <f>IF(Construction!$F$31=Construction!$R$22,Oeko!DP540,Oeko!GC540)</f>
        <v>1</v>
      </c>
      <c r="BD540" s="1979">
        <f>IF(Construction!$F$31=Construction!$R$22,Oeko!DQ540,Oeko!GD540)</f>
        <v>1</v>
      </c>
      <c r="BE540" s="1979">
        <f>IF(Construction!$F$31=Construction!$R$22,Oeko!DR540,Oeko!GE540)</f>
        <v>1</v>
      </c>
      <c r="BF540" s="1979">
        <f>IF(Construction!$F$31=Construction!$R$22,Oeko!DS540,Oeko!GF540)</f>
        <v>1</v>
      </c>
      <c r="BG540" s="1998">
        <f>IF(Construction!$F$31=Construction!$R$22,Oeko!DT540,Oeko!GG540)</f>
        <v>1</v>
      </c>
      <c r="BH540" s="1998">
        <f>IF(Construction!$F$31=Construction!$R$22,Oeko!DU540,Oeko!GH540)</f>
        <v>1</v>
      </c>
      <c r="BI540" s="1998">
        <f>IF(Construction!$F$31=Construction!$R$22,Oeko!DV540,Oeko!GI540)</f>
        <v>1</v>
      </c>
      <c r="BJ540" s="1998">
        <f>IF(Construction!$F$31=Construction!$R$22,Oeko!DW540,Oeko!GJ540)</f>
        <v>1</v>
      </c>
      <c r="BK540" s="2026">
        <f>IF(Construction!$F$31=Construction!$R$22,Oeko!DX540,Oeko!GK540)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Construction vitrée</v>
      </c>
      <c r="B541" s="2">
        <v>1</v>
      </c>
      <c r="C541" s="2" t="s">
        <v>4329</v>
      </c>
      <c r="D541" s="2004">
        <f>IF(Construction!$F$31=Construction!$R$22,Oeko!BQ541,Oeko!ED541)</f>
        <v>1.09375</v>
      </c>
      <c r="E541" s="2004">
        <f>IF(Construction!$F$31=Construction!$R$22,Oeko!BR541,Oeko!EE541)</f>
        <v>1.09375</v>
      </c>
      <c r="F541" s="2004">
        <f>IF(Construction!$F$31=Construction!$R$22,Oeko!BS541,Oeko!EF541)</f>
        <v>1.09375</v>
      </c>
      <c r="G541" s="2004">
        <f>IF(Construction!$F$31=Construction!$R$22,Oeko!BT541,Oeko!EG541)</f>
        <v>1.09375</v>
      </c>
      <c r="H541" s="2004">
        <f>IF(Construction!$F$31=Construction!$R$22,Oeko!BU541,Oeko!EH541)</f>
        <v>1.09375</v>
      </c>
      <c r="I541" s="2002">
        <f>IF(Construction!$F$31=Construction!$R$22,Oeko!BV541,Oeko!EI541)</f>
        <v>0</v>
      </c>
      <c r="J541" s="2002">
        <f>IF(Construction!$F$31=Construction!$R$22,Oeko!BW541,Oeko!EJ541)</f>
        <v>0</v>
      </c>
      <c r="K541" s="2002">
        <f>IF(Construction!$F$31=Construction!$R$22,Oeko!BX541,Oeko!EK541)</f>
        <v>0</v>
      </c>
      <c r="L541" s="2002">
        <f>IF(Construction!$F$31=Construction!$R$22,Oeko!BY541,Oeko!EL541)</f>
        <v>0</v>
      </c>
      <c r="M541" s="2002">
        <f>IF(Construction!$F$31=Construction!$R$22,Oeko!BZ541,Oeko!EM541)</f>
        <v>0</v>
      </c>
      <c r="N541" s="2004">
        <f>IF(Construction!$F$31=Construction!$R$22,Oeko!CA541,Oeko!EN541)</f>
        <v>1.0389610389610389</v>
      </c>
      <c r="O541" s="2004">
        <f>IF(Construction!$F$31=Construction!$R$22,Oeko!CB541,Oeko!EO541)</f>
        <v>1.0389610389610389</v>
      </c>
      <c r="P541" s="2004">
        <f>IF(Construction!$F$31=Construction!$R$22,Oeko!CC541,Oeko!EP541)</f>
        <v>1.0389610389610389</v>
      </c>
      <c r="Q541" s="2004">
        <f>IF(Construction!$F$31=Construction!$R$22,Oeko!CD541,Oeko!EQ541)</f>
        <v>1.0389610389610389</v>
      </c>
      <c r="R541" s="2004">
        <f>IF(Construction!$F$31=Construction!$R$22,Oeko!CE541,Oeko!ER541)</f>
        <v>1.0389610389610389</v>
      </c>
      <c r="S541" s="2002">
        <f>IF(Construction!$F$31=Construction!$R$22,Oeko!CF541,Oeko!ES541)</f>
        <v>1.3500000000000003</v>
      </c>
      <c r="T541" s="2002">
        <f>IF(Construction!$F$31=Construction!$R$22,Oeko!CG541,Oeko!ET541)</f>
        <v>1.3500000000000003</v>
      </c>
      <c r="U541" s="2002">
        <f>IF(Construction!$F$31=Construction!$R$22,Oeko!CH541,Oeko!EU541)</f>
        <v>1.3500000000000003</v>
      </c>
      <c r="V541" s="2002">
        <f>IF(Construction!$F$31=Construction!$R$22,Oeko!CI541,Oeko!EV541)</f>
        <v>1.3500000000000003</v>
      </c>
      <c r="W541" s="2002">
        <f>IF(Construction!$F$31=Construction!$R$22,Oeko!CJ541,Oeko!EW541)</f>
        <v>1.3500000000000003</v>
      </c>
      <c r="X541" s="2004">
        <f>IF(Construction!$F$31=Construction!$R$22,Oeko!CK541,Oeko!EX541)</f>
        <v>1.0285714285714285</v>
      </c>
      <c r="Y541" s="2004">
        <f>IF(Construction!$F$31=Construction!$R$22,Oeko!CL541,Oeko!EY541)</f>
        <v>1.0285714285714285</v>
      </c>
      <c r="Z541" s="2004">
        <f>IF(Construction!$F$31=Construction!$R$22,Oeko!CM541,Oeko!EZ541)</f>
        <v>1.0285714285714285</v>
      </c>
      <c r="AA541" s="2004">
        <f>IF(Construction!$F$31=Construction!$R$22,Oeko!CN541,Oeko!FA541)</f>
        <v>1.0285714285714285</v>
      </c>
      <c r="AB541" s="2004">
        <f>IF(Construction!$F$31=Construction!$R$22,Oeko!CO541,Oeko!FB541)</f>
        <v>1.0285714285714285</v>
      </c>
      <c r="AC541" s="2002">
        <f>IF(Construction!$F$31=Construction!$R$22,Oeko!CP541,Oeko!FC541)</f>
        <v>1.0000000000000002</v>
      </c>
      <c r="AD541" s="2002">
        <f>IF(Construction!$F$31=Construction!$R$22,Oeko!CQ541,Oeko!FD541)</f>
        <v>1.0000000000000002</v>
      </c>
      <c r="AE541" s="2002">
        <f>IF(Construction!$F$31=Construction!$R$22,Oeko!CR541,Oeko!FE541)</f>
        <v>1.0000000000000002</v>
      </c>
      <c r="AF541" s="2002">
        <f>IF(Construction!$F$31=Construction!$R$22,Oeko!CS541,Oeko!FF541)</f>
        <v>1.0000000000000002</v>
      </c>
      <c r="AG541" s="2002">
        <f>IF(Construction!$F$31=Construction!$R$22,Oeko!CT541,Oeko!FG541)</f>
        <v>1.0000000000000002</v>
      </c>
      <c r="AH541" s="2004">
        <f>IF(Construction!$F$31=Construction!$R$22,Oeko!CU541,Oeko!FH541)</f>
        <v>1.4999999999999998</v>
      </c>
      <c r="AI541" s="2004">
        <f>IF(Construction!$F$31=Construction!$R$22,Oeko!CV541,Oeko!FI541)</f>
        <v>1.4999999999999998</v>
      </c>
      <c r="AJ541" s="2004">
        <f>IF(Construction!$F$31=Construction!$R$22,Oeko!CW541,Oeko!FJ541)</f>
        <v>1.4999999999999998</v>
      </c>
      <c r="AK541" s="2004">
        <f>IF(Construction!$F$31=Construction!$R$22,Oeko!CX541,Oeko!FK541)</f>
        <v>1.4999999999999998</v>
      </c>
      <c r="AL541" s="2004">
        <f>IF(Construction!$F$31=Construction!$R$22,Oeko!CY541,Oeko!FL541)</f>
        <v>1.4999999999999998</v>
      </c>
      <c r="AM541" s="2002">
        <f>IF(Construction!$F$31=Construction!$R$22,Oeko!CZ541,Oeko!FM541)</f>
        <v>1.2222222222222223</v>
      </c>
      <c r="AN541" s="2002">
        <f>IF(Construction!$F$31=Construction!$R$22,Oeko!DA541,Oeko!FN541)</f>
        <v>1.2222222222222223</v>
      </c>
      <c r="AO541" s="2002">
        <f>IF(Construction!$F$31=Construction!$R$22,Oeko!DB541,Oeko!FO541)</f>
        <v>1.2222222222222223</v>
      </c>
      <c r="AP541" s="2002">
        <f>IF(Construction!$F$31=Construction!$R$22,Oeko!DC541,Oeko!FP541)</f>
        <v>1.2222222222222223</v>
      </c>
      <c r="AQ541" s="2002">
        <f>IF(Construction!$F$31=Construction!$R$22,Oeko!DD541,Oeko!FQ541)</f>
        <v>1.2222222222222223</v>
      </c>
      <c r="AR541" s="2004">
        <f>IF(Construction!$F$31=Construction!$R$22,Oeko!DE541,Oeko!FR541)</f>
        <v>13.798045313008366</v>
      </c>
      <c r="AS541" s="2004">
        <f>IF(Construction!$F$31=Construction!$R$22,Oeko!DF541,Oeko!FS541)</f>
        <v>13.798045313008366</v>
      </c>
      <c r="AT541" s="2004">
        <f>IF(Construction!$F$31=Construction!$R$22,Oeko!DG541,Oeko!FT541)</f>
        <v>13.798045313008366</v>
      </c>
      <c r="AU541" s="2004">
        <f>IF(Construction!$F$31=Construction!$R$22,Oeko!DH541,Oeko!FU541)</f>
        <v>13.798045313008366</v>
      </c>
      <c r="AV541" s="2004">
        <f>IF(Construction!$F$31=Construction!$R$22,Oeko!DI541,Oeko!FV541)</f>
        <v>13.798045313008366</v>
      </c>
      <c r="AW541" s="2002">
        <f>IF(Construction!$F$31=Construction!$R$22,Oeko!DJ541,Oeko!FW541)</f>
        <v>13.770696286005787</v>
      </c>
      <c r="AX541" s="2002">
        <f>IF(Construction!$F$31=Construction!$R$22,Oeko!DK541,Oeko!FX541)</f>
        <v>13.770696286005787</v>
      </c>
      <c r="AY541" s="2002">
        <f>IF(Construction!$F$31=Construction!$R$22,Oeko!DL541,Oeko!FY541)</f>
        <v>13.770696286005787</v>
      </c>
      <c r="AZ541" s="2002">
        <f>IF(Construction!$F$31=Construction!$R$22,Oeko!DM541,Oeko!FZ541)</f>
        <v>13.770696286005787</v>
      </c>
      <c r="BA541" s="2002">
        <f>IF(Construction!$F$31=Construction!$R$22,Oeko!DN541,Oeko!GA541)</f>
        <v>13.770696286005787</v>
      </c>
      <c r="BB541" s="2004">
        <f>IF(Construction!$F$31=Construction!$R$22,Oeko!DO541,Oeko!GB541)</f>
        <v>0.97975662301212196</v>
      </c>
      <c r="BC541" s="2004">
        <f>IF(Construction!$F$31=Construction!$R$22,Oeko!DP541,Oeko!GC541)</f>
        <v>0.97975662301212196</v>
      </c>
      <c r="BD541" s="2004">
        <f>IF(Construction!$F$31=Construction!$R$22,Oeko!DQ541,Oeko!GD541)</f>
        <v>0.97975662301212196</v>
      </c>
      <c r="BE541" s="2004">
        <f>IF(Construction!$F$31=Construction!$R$22,Oeko!DR541,Oeko!GE541)</f>
        <v>0.97975662301212196</v>
      </c>
      <c r="BF541" s="2004">
        <f>IF(Construction!$F$31=Construction!$R$22,Oeko!DS541,Oeko!GF541)</f>
        <v>0.97975662301212196</v>
      </c>
      <c r="BG541" s="2002">
        <f>IF(Construction!$F$31=Construction!$R$22,Oeko!DT541,Oeko!GG541)</f>
        <v>0.97614876347816082</v>
      </c>
      <c r="BH541" s="2002">
        <f>IF(Construction!$F$31=Construction!$R$22,Oeko!DU541,Oeko!GH541)</f>
        <v>0.97614876347816082</v>
      </c>
      <c r="BI541" s="2002">
        <f>IF(Construction!$F$31=Construction!$R$22,Oeko!DV541,Oeko!GI541)</f>
        <v>0.97614876347816082</v>
      </c>
      <c r="BJ541" s="2002">
        <f>IF(Construction!$F$31=Construction!$R$22,Oeko!DW541,Oeko!GJ541)</f>
        <v>0.97614876347816082</v>
      </c>
      <c r="BK541" s="2027">
        <f>IF(Construction!$F$31=Construction!$R$22,Oeko!DX541,Oeko!GK541)</f>
        <v>0.97614876347816082</v>
      </c>
      <c r="BN541" s="2025" t="str">
        <f>Uebersetzung!$D635</f>
        <v>Construction vitrée</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Construction vitrée</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IF(Construction!$F$31=Construction!$R$22,Oeko!BQ542,Oeko!ED542)</f>
        <v>1.0694444444444444</v>
      </c>
      <c r="E542" s="1998">
        <f>IF(Construction!$F$31=Construction!$R$22,Oeko!BR542,Oeko!EE542)</f>
        <v>1.0694444444444444</v>
      </c>
      <c r="F542" s="1998">
        <f>IF(Construction!$F$31=Construction!$R$22,Oeko!BS542,Oeko!EF542)</f>
        <v>1.0694444444444444</v>
      </c>
      <c r="G542" s="1998">
        <f>IF(Construction!$F$31=Construction!$R$22,Oeko!BT542,Oeko!EG542)</f>
        <v>1.0694444444444444</v>
      </c>
      <c r="H542" s="1998">
        <f>IF(Construction!$F$31=Construction!$R$22,Oeko!BU542,Oeko!EH542)</f>
        <v>1.0694444444444444</v>
      </c>
      <c r="I542" s="1979">
        <f>IF(Construction!$F$31=Construction!$R$22,Oeko!BV542,Oeko!EI542)</f>
        <v>0</v>
      </c>
      <c r="J542" s="1979">
        <f>IF(Construction!$F$31=Construction!$R$22,Oeko!BW542,Oeko!EJ542)</f>
        <v>0</v>
      </c>
      <c r="K542" s="1979">
        <f>IF(Construction!$F$31=Construction!$R$22,Oeko!BX542,Oeko!EK542)</f>
        <v>0</v>
      </c>
      <c r="L542" s="1979">
        <f>IF(Construction!$F$31=Construction!$R$22,Oeko!BY542,Oeko!EL542)</f>
        <v>0</v>
      </c>
      <c r="M542" s="1979">
        <f>IF(Construction!$F$31=Construction!$R$22,Oeko!BZ542,Oeko!EM542)</f>
        <v>0</v>
      </c>
      <c r="N542" s="1998">
        <f>IF(Construction!$F$31=Construction!$R$22,Oeko!CA542,Oeko!EN542)</f>
        <v>1.0389610389610391</v>
      </c>
      <c r="O542" s="1998">
        <f>IF(Construction!$F$31=Construction!$R$22,Oeko!CB542,Oeko!EO542)</f>
        <v>1.0389610389610391</v>
      </c>
      <c r="P542" s="1998">
        <f>IF(Construction!$F$31=Construction!$R$22,Oeko!CC542,Oeko!EP542)</f>
        <v>1.0389610389610391</v>
      </c>
      <c r="Q542" s="1998">
        <f>IF(Construction!$F$31=Construction!$R$22,Oeko!CD542,Oeko!EQ542)</f>
        <v>1.0389610389610391</v>
      </c>
      <c r="R542" s="1998">
        <f>IF(Construction!$F$31=Construction!$R$22,Oeko!CE542,Oeko!ER542)</f>
        <v>1.0389610389610391</v>
      </c>
      <c r="S542" s="1979">
        <f>IF(Construction!$F$31=Construction!$R$22,Oeko!CF542,Oeko!ES542)</f>
        <v>1.3333333333333335</v>
      </c>
      <c r="T542" s="1979">
        <f>IF(Construction!$F$31=Construction!$R$22,Oeko!CG542,Oeko!ET542)</f>
        <v>1.3333333333333335</v>
      </c>
      <c r="U542" s="1979">
        <f>IF(Construction!$F$31=Construction!$R$22,Oeko!CH542,Oeko!EU542)</f>
        <v>1.3333333333333335</v>
      </c>
      <c r="V542" s="1979">
        <f>IF(Construction!$F$31=Construction!$R$22,Oeko!CI542,Oeko!EV542)</f>
        <v>1.3333333333333335</v>
      </c>
      <c r="W542" s="1979">
        <f>IF(Construction!$F$31=Construction!$R$22,Oeko!CJ542,Oeko!EW542)</f>
        <v>1.3333333333333335</v>
      </c>
      <c r="X542" s="1998">
        <f>IF(Construction!$F$31=Construction!$R$22,Oeko!CK542,Oeko!EX542)</f>
        <v>1.0285714285714285</v>
      </c>
      <c r="Y542" s="1998">
        <f>IF(Construction!$F$31=Construction!$R$22,Oeko!CL542,Oeko!EY542)</f>
        <v>1.0285714285714285</v>
      </c>
      <c r="Z542" s="1998">
        <f>IF(Construction!$F$31=Construction!$R$22,Oeko!CM542,Oeko!EZ542)</f>
        <v>1.0285714285714285</v>
      </c>
      <c r="AA542" s="1998">
        <f>IF(Construction!$F$31=Construction!$R$22,Oeko!CN542,Oeko!FA542)</f>
        <v>1.0285714285714285</v>
      </c>
      <c r="AB542" s="1998">
        <f>IF(Construction!$F$31=Construction!$R$22,Oeko!CO542,Oeko!FB542)</f>
        <v>1.0285714285714285</v>
      </c>
      <c r="AC542" s="1979">
        <f>IF(Construction!$F$31=Construction!$R$22,Oeko!CP542,Oeko!FC542)</f>
        <v>1.0000000000000002</v>
      </c>
      <c r="AD542" s="1979">
        <f>IF(Construction!$F$31=Construction!$R$22,Oeko!CQ542,Oeko!FD542)</f>
        <v>1.0000000000000002</v>
      </c>
      <c r="AE542" s="1979">
        <f>IF(Construction!$F$31=Construction!$R$22,Oeko!CR542,Oeko!FE542)</f>
        <v>1.0000000000000002</v>
      </c>
      <c r="AF542" s="1979">
        <f>IF(Construction!$F$31=Construction!$R$22,Oeko!CS542,Oeko!FF542)</f>
        <v>1.0000000000000002</v>
      </c>
      <c r="AG542" s="1979">
        <f>IF(Construction!$F$31=Construction!$R$22,Oeko!CT542,Oeko!FG542)</f>
        <v>1.0000000000000002</v>
      </c>
      <c r="AH542" s="1998">
        <f>IF(Construction!$F$31=Construction!$R$22,Oeko!CU542,Oeko!FH542)</f>
        <v>1.5</v>
      </c>
      <c r="AI542" s="1998">
        <f>IF(Construction!$F$31=Construction!$R$22,Oeko!CV542,Oeko!FI542)</f>
        <v>1.5</v>
      </c>
      <c r="AJ542" s="1998">
        <f>IF(Construction!$F$31=Construction!$R$22,Oeko!CW542,Oeko!FJ542)</f>
        <v>1.5</v>
      </c>
      <c r="AK542" s="1998">
        <f>IF(Construction!$F$31=Construction!$R$22,Oeko!CX542,Oeko!FK542)</f>
        <v>1.5</v>
      </c>
      <c r="AL542" s="1998">
        <f>IF(Construction!$F$31=Construction!$R$22,Oeko!CY542,Oeko!FL542)</f>
        <v>1.5</v>
      </c>
      <c r="AM542" s="1979">
        <f>IF(Construction!$F$31=Construction!$R$22,Oeko!CZ542,Oeko!FM542)</f>
        <v>1.2</v>
      </c>
      <c r="AN542" s="1979">
        <f>IF(Construction!$F$31=Construction!$R$22,Oeko!DA542,Oeko!FN542)</f>
        <v>1.2</v>
      </c>
      <c r="AO542" s="1979">
        <f>IF(Construction!$F$31=Construction!$R$22,Oeko!DB542,Oeko!FO542)</f>
        <v>1.2</v>
      </c>
      <c r="AP542" s="1979">
        <f>IF(Construction!$F$31=Construction!$R$22,Oeko!DC542,Oeko!FP542)</f>
        <v>1.2</v>
      </c>
      <c r="AQ542" s="1979">
        <f>IF(Construction!$F$31=Construction!$R$22,Oeko!DD542,Oeko!FQ542)</f>
        <v>1.2</v>
      </c>
      <c r="AR542" s="1998">
        <f>IF(Construction!$F$31=Construction!$R$22,Oeko!DE542,Oeko!FR542)</f>
        <v>13.414766276535909</v>
      </c>
      <c r="AS542" s="1998">
        <f>IF(Construction!$F$31=Construction!$R$22,Oeko!DF542,Oeko!FS542)</f>
        <v>13.414766276535909</v>
      </c>
      <c r="AT542" s="1998">
        <f>IF(Construction!$F$31=Construction!$R$22,Oeko!DG542,Oeko!FT542)</f>
        <v>13.414766276535909</v>
      </c>
      <c r="AU542" s="1998">
        <f>IF(Construction!$F$31=Construction!$R$22,Oeko!DH542,Oeko!FU542)</f>
        <v>13.414766276535909</v>
      </c>
      <c r="AV542" s="1998">
        <f>IF(Construction!$F$31=Construction!$R$22,Oeko!DI542,Oeko!FV542)</f>
        <v>13.414766276535909</v>
      </c>
      <c r="AW542" s="1979">
        <f>IF(Construction!$F$31=Construction!$R$22,Oeko!DJ542,Oeko!FW542)</f>
        <v>12.852649866938734</v>
      </c>
      <c r="AX542" s="1979">
        <f>IF(Construction!$F$31=Construction!$R$22,Oeko!DK542,Oeko!FX542)</f>
        <v>12.852649866938734</v>
      </c>
      <c r="AY542" s="1979">
        <f>IF(Construction!$F$31=Construction!$R$22,Oeko!DL542,Oeko!FY542)</f>
        <v>12.852649866938734</v>
      </c>
      <c r="AZ542" s="1979">
        <f>IF(Construction!$F$31=Construction!$R$22,Oeko!DM542,Oeko!FZ542)</f>
        <v>12.852649866938734</v>
      </c>
      <c r="BA542" s="1979">
        <f>IF(Construction!$F$31=Construction!$R$22,Oeko!DN542,Oeko!GA542)</f>
        <v>12.852649866938734</v>
      </c>
      <c r="BB542" s="1998">
        <f>IF(Construction!$F$31=Construction!$R$22,Oeko!DO542,Oeko!GB542)</f>
        <v>0.97975662301212174</v>
      </c>
      <c r="BC542" s="1998">
        <f>IF(Construction!$F$31=Construction!$R$22,Oeko!DP542,Oeko!GC542)</f>
        <v>0.97975662301212174</v>
      </c>
      <c r="BD542" s="1998">
        <f>IF(Construction!$F$31=Construction!$R$22,Oeko!DQ542,Oeko!GD542)</f>
        <v>0.97975662301212174</v>
      </c>
      <c r="BE542" s="1998">
        <f>IF(Construction!$F$31=Construction!$R$22,Oeko!DR542,Oeko!GE542)</f>
        <v>0.97975662301212174</v>
      </c>
      <c r="BF542" s="1998">
        <f>IF(Construction!$F$31=Construction!$R$22,Oeko!DS542,Oeko!GF542)</f>
        <v>0.97975662301212174</v>
      </c>
      <c r="BG542" s="1979">
        <f>IF(Construction!$F$31=Construction!$R$22,Oeko!DT542,Oeko!GG542)</f>
        <v>0.9761487634781606</v>
      </c>
      <c r="BH542" s="1979">
        <f>IF(Construction!$F$31=Construction!$R$22,Oeko!DU542,Oeko!GH542)</f>
        <v>0.9761487634781606</v>
      </c>
      <c r="BI542" s="1979">
        <f>IF(Construction!$F$31=Construction!$R$22,Oeko!DV542,Oeko!GI542)</f>
        <v>0.9761487634781606</v>
      </c>
      <c r="BJ542" s="1979">
        <f>IF(Construction!$F$31=Construction!$R$22,Oeko!DW542,Oeko!GJ542)</f>
        <v>0.9761487634781606</v>
      </c>
      <c r="BK542" s="2021">
        <f>IF(Construction!$F$31=Construction!$R$22,Oeko!DX542,Oeko!GK542)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IF(Construction!$F$31=Construction!$R$22,Oeko!BQ543,Oeko!ED543)</f>
        <v>1.0606060606060606</v>
      </c>
      <c r="E543" s="1998">
        <f>IF(Construction!$F$31=Construction!$R$22,Oeko!BR543,Oeko!EE543)</f>
        <v>1.0606060606060606</v>
      </c>
      <c r="F543" s="1998">
        <f>IF(Construction!$F$31=Construction!$R$22,Oeko!BS543,Oeko!EF543)</f>
        <v>1.0606060606060606</v>
      </c>
      <c r="G543" s="1998">
        <f>IF(Construction!$F$31=Construction!$R$22,Oeko!BT543,Oeko!EG543)</f>
        <v>1.0606060606060606</v>
      </c>
      <c r="H543" s="1998">
        <f>IF(Construction!$F$31=Construction!$R$22,Oeko!BU543,Oeko!EH543)</f>
        <v>1.0606060606060606</v>
      </c>
      <c r="I543" s="1979">
        <f>IF(Construction!$F$31=Construction!$R$22,Oeko!BV543,Oeko!EI543)</f>
        <v>0</v>
      </c>
      <c r="J543" s="1979">
        <f>IF(Construction!$F$31=Construction!$R$22,Oeko!BW543,Oeko!EJ543)</f>
        <v>0</v>
      </c>
      <c r="K543" s="1979">
        <f>IF(Construction!$F$31=Construction!$R$22,Oeko!BX543,Oeko!EK543)</f>
        <v>0</v>
      </c>
      <c r="L543" s="1979">
        <f>IF(Construction!$F$31=Construction!$R$22,Oeko!BY543,Oeko!EL543)</f>
        <v>0</v>
      </c>
      <c r="M543" s="1979">
        <f>IF(Construction!$F$31=Construction!$R$22,Oeko!BZ543,Oeko!EM543)</f>
        <v>0</v>
      </c>
      <c r="N543" s="1998">
        <f>IF(Construction!$F$31=Construction!$R$22,Oeko!CA543,Oeko!EN543)</f>
        <v>1.0285714285714287</v>
      </c>
      <c r="O543" s="1998">
        <f>IF(Construction!$F$31=Construction!$R$22,Oeko!CB543,Oeko!EO543)</f>
        <v>1.0285714285714287</v>
      </c>
      <c r="P543" s="1998">
        <f>IF(Construction!$F$31=Construction!$R$22,Oeko!CC543,Oeko!EP543)</f>
        <v>1.0285714285714287</v>
      </c>
      <c r="Q543" s="1998">
        <f>IF(Construction!$F$31=Construction!$R$22,Oeko!CD543,Oeko!EQ543)</f>
        <v>1.0285714285714287</v>
      </c>
      <c r="R543" s="1998">
        <f>IF(Construction!$F$31=Construction!$R$22,Oeko!CE543,Oeko!ER543)</f>
        <v>1.0285714285714287</v>
      </c>
      <c r="S543" s="1979">
        <f>IF(Construction!$F$31=Construction!$R$22,Oeko!CF543,Oeko!ES543)</f>
        <v>1.3125000000000002</v>
      </c>
      <c r="T543" s="1979">
        <f>IF(Construction!$F$31=Construction!$R$22,Oeko!CG543,Oeko!ET543)</f>
        <v>1.3125000000000002</v>
      </c>
      <c r="U543" s="1979">
        <f>IF(Construction!$F$31=Construction!$R$22,Oeko!CH543,Oeko!EU543)</f>
        <v>1.3125000000000002</v>
      </c>
      <c r="V543" s="1979">
        <f>IF(Construction!$F$31=Construction!$R$22,Oeko!CI543,Oeko!EV543)</f>
        <v>1.3125000000000002</v>
      </c>
      <c r="W543" s="1979">
        <f>IF(Construction!$F$31=Construction!$R$22,Oeko!CJ543,Oeko!EW543)</f>
        <v>1.3125000000000002</v>
      </c>
      <c r="X543" s="1998">
        <f>IF(Construction!$F$31=Construction!$R$22,Oeko!CK543,Oeko!EX543)</f>
        <v>0.99999999999999989</v>
      </c>
      <c r="Y543" s="1998">
        <f>IF(Construction!$F$31=Construction!$R$22,Oeko!CL543,Oeko!EY543)</f>
        <v>0.99999999999999989</v>
      </c>
      <c r="Z543" s="1998">
        <f>IF(Construction!$F$31=Construction!$R$22,Oeko!CM543,Oeko!EZ543)</f>
        <v>0.99999999999999989</v>
      </c>
      <c r="AA543" s="1998">
        <f>IF(Construction!$F$31=Construction!$R$22,Oeko!CN543,Oeko!FA543)</f>
        <v>0.99999999999999989</v>
      </c>
      <c r="AB543" s="1998">
        <f>IF(Construction!$F$31=Construction!$R$22,Oeko!CO543,Oeko!FB543)</f>
        <v>0.99999999999999989</v>
      </c>
      <c r="AC543" s="1979">
        <f>IF(Construction!$F$31=Construction!$R$22,Oeko!CP543,Oeko!FC543)</f>
        <v>1.0000000000000002</v>
      </c>
      <c r="AD543" s="1979">
        <f>IF(Construction!$F$31=Construction!$R$22,Oeko!CQ543,Oeko!FD543)</f>
        <v>1.0000000000000002</v>
      </c>
      <c r="AE543" s="1979">
        <f>IF(Construction!$F$31=Construction!$R$22,Oeko!CR543,Oeko!FE543)</f>
        <v>1.0000000000000002</v>
      </c>
      <c r="AF543" s="1979">
        <f>IF(Construction!$F$31=Construction!$R$22,Oeko!CS543,Oeko!FF543)</f>
        <v>1.0000000000000002</v>
      </c>
      <c r="AG543" s="1979">
        <f>IF(Construction!$F$31=Construction!$R$22,Oeko!CT543,Oeko!FG543)</f>
        <v>1.0000000000000002</v>
      </c>
      <c r="AH543" s="1998">
        <f>IF(Construction!$F$31=Construction!$R$22,Oeko!CU543,Oeko!FH543)</f>
        <v>1.5</v>
      </c>
      <c r="AI543" s="1998">
        <f>IF(Construction!$F$31=Construction!$R$22,Oeko!CV543,Oeko!FI543)</f>
        <v>1.5</v>
      </c>
      <c r="AJ543" s="1998">
        <f>IF(Construction!$F$31=Construction!$R$22,Oeko!CW543,Oeko!FJ543)</f>
        <v>1.5</v>
      </c>
      <c r="AK543" s="1998">
        <f>IF(Construction!$F$31=Construction!$R$22,Oeko!CX543,Oeko!FK543)</f>
        <v>1.5</v>
      </c>
      <c r="AL543" s="1998">
        <f>IF(Construction!$F$31=Construction!$R$22,Oeko!CY543,Oeko!FL543)</f>
        <v>1.5</v>
      </c>
      <c r="AM543" s="1979">
        <f>IF(Construction!$F$31=Construction!$R$22,Oeko!CZ543,Oeko!FM543)</f>
        <v>1.1428571428571428</v>
      </c>
      <c r="AN543" s="1979">
        <f>IF(Construction!$F$31=Construction!$R$22,Oeko!DA543,Oeko!FN543)</f>
        <v>1.1428571428571428</v>
      </c>
      <c r="AO543" s="1979">
        <f>IF(Construction!$F$31=Construction!$R$22,Oeko!DB543,Oeko!FO543)</f>
        <v>1.1428571428571428</v>
      </c>
      <c r="AP543" s="1979">
        <f>IF(Construction!$F$31=Construction!$R$22,Oeko!DC543,Oeko!FP543)</f>
        <v>1.1428571428571428</v>
      </c>
      <c r="AQ543" s="1979">
        <f>IF(Construction!$F$31=Construction!$R$22,Oeko!DD543,Oeko!FQ543)</f>
        <v>1.1428571428571428</v>
      </c>
      <c r="AR543" s="1998">
        <f>IF(Construction!$F$31=Construction!$R$22,Oeko!DE543,Oeko!FR543)</f>
        <v>12.878175625474475</v>
      </c>
      <c r="AS543" s="1998">
        <f>IF(Construction!$F$31=Construction!$R$22,Oeko!DF543,Oeko!FS543)</f>
        <v>12.878175625474475</v>
      </c>
      <c r="AT543" s="1998">
        <f>IF(Construction!$F$31=Construction!$R$22,Oeko!DG543,Oeko!FT543)</f>
        <v>12.878175625474475</v>
      </c>
      <c r="AU543" s="1998">
        <f>IF(Construction!$F$31=Construction!$R$22,Oeko!DH543,Oeko!FU543)</f>
        <v>12.878175625474475</v>
      </c>
      <c r="AV543" s="1998">
        <f>IF(Construction!$F$31=Construction!$R$22,Oeko!DI543,Oeko!FV543)</f>
        <v>12.878175625474475</v>
      </c>
      <c r="AW543" s="1979">
        <f>IF(Construction!$F$31=Construction!$R$22,Oeko!DJ543,Oeko!FW543)</f>
        <v>12.852649866938734</v>
      </c>
      <c r="AX543" s="1979">
        <f>IF(Construction!$F$31=Construction!$R$22,Oeko!DK543,Oeko!FX543)</f>
        <v>12.852649866938734</v>
      </c>
      <c r="AY543" s="1979">
        <f>IF(Construction!$F$31=Construction!$R$22,Oeko!DL543,Oeko!FY543)</f>
        <v>12.852649866938734</v>
      </c>
      <c r="AZ543" s="1979">
        <f>IF(Construction!$F$31=Construction!$R$22,Oeko!DM543,Oeko!FZ543)</f>
        <v>12.852649866938734</v>
      </c>
      <c r="BA543" s="1979">
        <f>IF(Construction!$F$31=Construction!$R$22,Oeko!DN543,Oeko!GA543)</f>
        <v>12.852649866938734</v>
      </c>
      <c r="BB543" s="1998">
        <f>IF(Construction!$F$31=Construction!$R$22,Oeko!DO543,Oeko!GB543)</f>
        <v>0.97975662301212196</v>
      </c>
      <c r="BC543" s="1998">
        <f>IF(Construction!$F$31=Construction!$R$22,Oeko!DP543,Oeko!GC543)</f>
        <v>0.97975662301212196</v>
      </c>
      <c r="BD543" s="1998">
        <f>IF(Construction!$F$31=Construction!$R$22,Oeko!DQ543,Oeko!GD543)</f>
        <v>0.97975662301212196</v>
      </c>
      <c r="BE543" s="1998">
        <f>IF(Construction!$F$31=Construction!$R$22,Oeko!DR543,Oeko!GE543)</f>
        <v>0.97975662301212196</v>
      </c>
      <c r="BF543" s="1998">
        <f>IF(Construction!$F$31=Construction!$R$22,Oeko!DS543,Oeko!GF543)</f>
        <v>0.97975662301212196</v>
      </c>
      <c r="BG543" s="1979">
        <f>IF(Construction!$F$31=Construction!$R$22,Oeko!DT543,Oeko!GG543)</f>
        <v>0.9761487634781606</v>
      </c>
      <c r="BH543" s="1979">
        <f>IF(Construction!$F$31=Construction!$R$22,Oeko!DU543,Oeko!GH543)</f>
        <v>0.9761487634781606</v>
      </c>
      <c r="BI543" s="1979">
        <f>IF(Construction!$F$31=Construction!$R$22,Oeko!DV543,Oeko!GI543)</f>
        <v>0.9761487634781606</v>
      </c>
      <c r="BJ543" s="1979">
        <f>IF(Construction!$F$31=Construction!$R$22,Oeko!DW543,Oeko!GJ543)</f>
        <v>0.9761487634781606</v>
      </c>
      <c r="BK543" s="2021">
        <f>IF(Construction!$F$31=Construction!$R$22,Oeko!DX543,Oeko!GK543)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IF(Construction!$F$31=Construction!$R$22,Oeko!BQ544,Oeko!ED544)</f>
        <v>1.0606060606060606</v>
      </c>
      <c r="E544" s="1998">
        <f>IF(Construction!$F$31=Construction!$R$22,Oeko!BR544,Oeko!EE544)</f>
        <v>1.0606060606060606</v>
      </c>
      <c r="F544" s="1998">
        <f>IF(Construction!$F$31=Construction!$R$22,Oeko!BS544,Oeko!EF544)</f>
        <v>1.0606060606060606</v>
      </c>
      <c r="G544" s="1998">
        <f>IF(Construction!$F$31=Construction!$R$22,Oeko!BT544,Oeko!EG544)</f>
        <v>1.0606060606060606</v>
      </c>
      <c r="H544" s="1998">
        <f>IF(Construction!$F$31=Construction!$R$22,Oeko!BU544,Oeko!EH544)</f>
        <v>1.0606060606060606</v>
      </c>
      <c r="I544" s="1979">
        <f>IF(Construction!$F$31=Construction!$R$22,Oeko!BV544,Oeko!EI544)</f>
        <v>0</v>
      </c>
      <c r="J544" s="1979">
        <f>IF(Construction!$F$31=Construction!$R$22,Oeko!BW544,Oeko!EJ544)</f>
        <v>0</v>
      </c>
      <c r="K544" s="1979">
        <f>IF(Construction!$F$31=Construction!$R$22,Oeko!BX544,Oeko!EK544)</f>
        <v>0</v>
      </c>
      <c r="L544" s="1979">
        <f>IF(Construction!$F$31=Construction!$R$22,Oeko!BY544,Oeko!EL544)</f>
        <v>0</v>
      </c>
      <c r="M544" s="1979">
        <f>IF(Construction!$F$31=Construction!$R$22,Oeko!BZ544,Oeko!EM544)</f>
        <v>0</v>
      </c>
      <c r="N544" s="1998">
        <f>IF(Construction!$F$31=Construction!$R$22,Oeko!CA544,Oeko!EN544)</f>
        <v>1.0158730158730158</v>
      </c>
      <c r="O544" s="1998">
        <f>IF(Construction!$F$31=Construction!$R$22,Oeko!CB544,Oeko!EO544)</f>
        <v>1.0158730158730158</v>
      </c>
      <c r="P544" s="1998">
        <f>IF(Construction!$F$31=Construction!$R$22,Oeko!CC544,Oeko!EP544)</f>
        <v>1.0158730158730158</v>
      </c>
      <c r="Q544" s="1998">
        <f>IF(Construction!$F$31=Construction!$R$22,Oeko!CD544,Oeko!EQ544)</f>
        <v>1.0158730158730158</v>
      </c>
      <c r="R544" s="1998">
        <f>IF(Construction!$F$31=Construction!$R$22,Oeko!CE544,Oeko!ER544)</f>
        <v>1.0158730158730158</v>
      </c>
      <c r="S544" s="1979">
        <f>IF(Construction!$F$31=Construction!$R$22,Oeko!CF544,Oeko!ES544)</f>
        <v>1.25</v>
      </c>
      <c r="T544" s="1979">
        <f>IF(Construction!$F$31=Construction!$R$22,Oeko!CG544,Oeko!ET544)</f>
        <v>1.25</v>
      </c>
      <c r="U544" s="1979">
        <f>IF(Construction!$F$31=Construction!$R$22,Oeko!CH544,Oeko!EU544)</f>
        <v>1.25</v>
      </c>
      <c r="V544" s="1979">
        <f>IF(Construction!$F$31=Construction!$R$22,Oeko!CI544,Oeko!EV544)</f>
        <v>1.25</v>
      </c>
      <c r="W544" s="1979">
        <f>IF(Construction!$F$31=Construction!$R$22,Oeko!CJ544,Oeko!EW544)</f>
        <v>1.25</v>
      </c>
      <c r="X544" s="1998">
        <f>IF(Construction!$F$31=Construction!$R$22,Oeko!CK544,Oeko!EX544)</f>
        <v>0.99999999999999989</v>
      </c>
      <c r="Y544" s="1998">
        <f>IF(Construction!$F$31=Construction!$R$22,Oeko!CL544,Oeko!EY544)</f>
        <v>0.99999999999999989</v>
      </c>
      <c r="Z544" s="1998">
        <f>IF(Construction!$F$31=Construction!$R$22,Oeko!CM544,Oeko!EZ544)</f>
        <v>0.99999999999999989</v>
      </c>
      <c r="AA544" s="1998">
        <f>IF(Construction!$F$31=Construction!$R$22,Oeko!CN544,Oeko!FA544)</f>
        <v>0.99999999999999989</v>
      </c>
      <c r="AB544" s="1998">
        <f>IF(Construction!$F$31=Construction!$R$22,Oeko!CO544,Oeko!FB544)</f>
        <v>0.99999999999999989</v>
      </c>
      <c r="AC544" s="1979">
        <f>IF(Construction!$F$31=Construction!$R$22,Oeko!CP544,Oeko!FC544)</f>
        <v>1.0000000000000002</v>
      </c>
      <c r="AD544" s="1979">
        <f>IF(Construction!$F$31=Construction!$R$22,Oeko!CQ544,Oeko!FD544)</f>
        <v>1.0000000000000002</v>
      </c>
      <c r="AE544" s="1979">
        <f>IF(Construction!$F$31=Construction!$R$22,Oeko!CR544,Oeko!FE544)</f>
        <v>1.0000000000000002</v>
      </c>
      <c r="AF544" s="1979">
        <f>IF(Construction!$F$31=Construction!$R$22,Oeko!CS544,Oeko!FF544)</f>
        <v>1.0000000000000002</v>
      </c>
      <c r="AG544" s="1979">
        <f>IF(Construction!$F$31=Construction!$R$22,Oeko!CT544,Oeko!FG544)</f>
        <v>1.0000000000000002</v>
      </c>
      <c r="AH544" s="1998">
        <f>IF(Construction!$F$31=Construction!$R$22,Oeko!CU544,Oeko!FH544)</f>
        <v>1.3333333333333333</v>
      </c>
      <c r="AI544" s="1998">
        <f>IF(Construction!$F$31=Construction!$R$22,Oeko!CV544,Oeko!FI544)</f>
        <v>1.3333333333333333</v>
      </c>
      <c r="AJ544" s="1998">
        <f>IF(Construction!$F$31=Construction!$R$22,Oeko!CW544,Oeko!FJ544)</f>
        <v>1.3333333333333333</v>
      </c>
      <c r="AK544" s="1998">
        <f>IF(Construction!$F$31=Construction!$R$22,Oeko!CX544,Oeko!FK544)</f>
        <v>1.3333333333333333</v>
      </c>
      <c r="AL544" s="1998">
        <f>IF(Construction!$F$31=Construction!$R$22,Oeko!CY544,Oeko!FL544)</f>
        <v>1.3333333333333333</v>
      </c>
      <c r="AM544" s="1979">
        <f>IF(Construction!$F$31=Construction!$R$22,Oeko!CZ544,Oeko!FM544)</f>
        <v>1.1428571428571428</v>
      </c>
      <c r="AN544" s="1979">
        <f>IF(Construction!$F$31=Construction!$R$22,Oeko!DA544,Oeko!FN544)</f>
        <v>1.1428571428571428</v>
      </c>
      <c r="AO544" s="1979">
        <f>IF(Construction!$F$31=Construction!$R$22,Oeko!DB544,Oeko!FO544)</f>
        <v>1.1428571428571428</v>
      </c>
      <c r="AP544" s="1979">
        <f>IF(Construction!$F$31=Construction!$R$22,Oeko!DC544,Oeko!FP544)</f>
        <v>1.1428571428571428</v>
      </c>
      <c r="AQ544" s="1979">
        <f>IF(Construction!$F$31=Construction!$R$22,Oeko!DD544,Oeko!FQ544)</f>
        <v>1.1428571428571428</v>
      </c>
      <c r="AR544" s="1998">
        <f>IF(Construction!$F$31=Construction!$R$22,Oeko!DE544,Oeko!FR544)</f>
        <v>12.073289648882321</v>
      </c>
      <c r="AS544" s="1998">
        <f>IF(Construction!$F$31=Construction!$R$22,Oeko!DF544,Oeko!FS544)</f>
        <v>12.073289648882321</v>
      </c>
      <c r="AT544" s="1998">
        <f>IF(Construction!$F$31=Construction!$R$22,Oeko!DG544,Oeko!FT544)</f>
        <v>12.073289648882321</v>
      </c>
      <c r="AU544" s="1998">
        <f>IF(Construction!$F$31=Construction!$R$22,Oeko!DH544,Oeko!FU544)</f>
        <v>12.073289648882321</v>
      </c>
      <c r="AV544" s="1998">
        <f>IF(Construction!$F$31=Construction!$R$22,Oeko!DI544,Oeko!FV544)</f>
        <v>12.073289648882321</v>
      </c>
      <c r="AW544" s="1979">
        <f>IF(Construction!$F$31=Construction!$R$22,Oeko!DJ544,Oeko!FW544)</f>
        <v>12.049359250255064</v>
      </c>
      <c r="AX544" s="1979">
        <f>IF(Construction!$F$31=Construction!$R$22,Oeko!DK544,Oeko!FX544)</f>
        <v>12.049359250255064</v>
      </c>
      <c r="AY544" s="1979">
        <f>IF(Construction!$F$31=Construction!$R$22,Oeko!DL544,Oeko!FY544)</f>
        <v>12.049359250255064</v>
      </c>
      <c r="AZ544" s="1979">
        <f>IF(Construction!$F$31=Construction!$R$22,Oeko!DM544,Oeko!FZ544)</f>
        <v>12.049359250255064</v>
      </c>
      <c r="BA544" s="1979">
        <f>IF(Construction!$F$31=Construction!$R$22,Oeko!DN544,Oeko!GA544)</f>
        <v>12.049359250255064</v>
      </c>
      <c r="BB544" s="1998">
        <f>IF(Construction!$F$31=Construction!$R$22,Oeko!DO544,Oeko!GB544)</f>
        <v>0.97975662301212196</v>
      </c>
      <c r="BC544" s="1998">
        <f>IF(Construction!$F$31=Construction!$R$22,Oeko!DP544,Oeko!GC544)</f>
        <v>0.97975662301212196</v>
      </c>
      <c r="BD544" s="1998">
        <f>IF(Construction!$F$31=Construction!$R$22,Oeko!DQ544,Oeko!GD544)</f>
        <v>0.97975662301212196</v>
      </c>
      <c r="BE544" s="1998">
        <f>IF(Construction!$F$31=Construction!$R$22,Oeko!DR544,Oeko!GE544)</f>
        <v>0.97975662301212196</v>
      </c>
      <c r="BF544" s="1998">
        <f>IF(Construction!$F$31=Construction!$R$22,Oeko!DS544,Oeko!GF544)</f>
        <v>0.97975662301212196</v>
      </c>
      <c r="BG544" s="1979">
        <f>IF(Construction!$F$31=Construction!$R$22,Oeko!DT544,Oeko!GG544)</f>
        <v>0.9761487634781606</v>
      </c>
      <c r="BH544" s="1979">
        <f>IF(Construction!$F$31=Construction!$R$22,Oeko!DU544,Oeko!GH544)</f>
        <v>0.9761487634781606</v>
      </c>
      <c r="BI544" s="1979">
        <f>IF(Construction!$F$31=Construction!$R$22,Oeko!DV544,Oeko!GI544)</f>
        <v>0.9761487634781606</v>
      </c>
      <c r="BJ544" s="1979">
        <f>IF(Construction!$F$31=Construction!$R$22,Oeko!DW544,Oeko!GJ544)</f>
        <v>0.9761487634781606</v>
      </c>
      <c r="BK544" s="2021">
        <f>IF(Construction!$F$31=Construction!$R$22,Oeko!DX544,Oeko!GK544)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IF(Construction!$F$31=Construction!$R$22,Oeko!BQ545,Oeko!ED545)</f>
        <v>1.0606060606060606</v>
      </c>
      <c r="E545" s="1998">
        <f>IF(Construction!$F$31=Construction!$R$22,Oeko!BR545,Oeko!EE545)</f>
        <v>1.0606060606060606</v>
      </c>
      <c r="F545" s="1998">
        <f>IF(Construction!$F$31=Construction!$R$22,Oeko!BS545,Oeko!EF545)</f>
        <v>1.0606060606060606</v>
      </c>
      <c r="G545" s="1998">
        <f>IF(Construction!$F$31=Construction!$R$22,Oeko!BT545,Oeko!EG545)</f>
        <v>1.0606060606060606</v>
      </c>
      <c r="H545" s="1998">
        <f>IF(Construction!$F$31=Construction!$R$22,Oeko!BU545,Oeko!EH545)</f>
        <v>1.0606060606060606</v>
      </c>
      <c r="I545" s="1979">
        <f>IF(Construction!$F$31=Construction!$R$22,Oeko!BV545,Oeko!EI545)</f>
        <v>0</v>
      </c>
      <c r="J545" s="1979">
        <f>IF(Construction!$F$31=Construction!$R$22,Oeko!BW545,Oeko!EJ545)</f>
        <v>0</v>
      </c>
      <c r="K545" s="1979">
        <f>IF(Construction!$F$31=Construction!$R$22,Oeko!BX545,Oeko!EK545)</f>
        <v>0</v>
      </c>
      <c r="L545" s="1979">
        <f>IF(Construction!$F$31=Construction!$R$22,Oeko!BY545,Oeko!EL545)</f>
        <v>0</v>
      </c>
      <c r="M545" s="1979">
        <f>IF(Construction!$F$31=Construction!$R$22,Oeko!BZ545,Oeko!EM545)</f>
        <v>0</v>
      </c>
      <c r="N545" s="1998">
        <f>IF(Construction!$F$31=Construction!$R$22,Oeko!CA545,Oeko!EN545)</f>
        <v>1.015873015873016</v>
      </c>
      <c r="O545" s="1998">
        <f>IF(Construction!$F$31=Construction!$R$22,Oeko!CB545,Oeko!EO545)</f>
        <v>1.015873015873016</v>
      </c>
      <c r="P545" s="1998">
        <f>IF(Construction!$F$31=Construction!$R$22,Oeko!CC545,Oeko!EP545)</f>
        <v>1.015873015873016</v>
      </c>
      <c r="Q545" s="1998">
        <f>IF(Construction!$F$31=Construction!$R$22,Oeko!CD545,Oeko!EQ545)</f>
        <v>1.015873015873016</v>
      </c>
      <c r="R545" s="1998">
        <f>IF(Construction!$F$31=Construction!$R$22,Oeko!CE545,Oeko!ER545)</f>
        <v>1.015873015873016</v>
      </c>
      <c r="S545" s="1979">
        <f>IF(Construction!$F$31=Construction!$R$22,Oeko!CF545,Oeko!ES545)</f>
        <v>1.25</v>
      </c>
      <c r="T545" s="1979">
        <f>IF(Construction!$F$31=Construction!$R$22,Oeko!CG545,Oeko!ET545)</f>
        <v>1.25</v>
      </c>
      <c r="U545" s="1979">
        <f>IF(Construction!$F$31=Construction!$R$22,Oeko!CH545,Oeko!EU545)</f>
        <v>1.25</v>
      </c>
      <c r="V545" s="1979">
        <f>IF(Construction!$F$31=Construction!$R$22,Oeko!CI545,Oeko!EV545)</f>
        <v>1.25</v>
      </c>
      <c r="W545" s="1979">
        <f>IF(Construction!$F$31=Construction!$R$22,Oeko!CJ545,Oeko!EW545)</f>
        <v>1.25</v>
      </c>
      <c r="X545" s="1998">
        <f>IF(Construction!$F$31=Construction!$R$22,Oeko!CK545,Oeko!EX545)</f>
        <v>1</v>
      </c>
      <c r="Y545" s="1998">
        <f>IF(Construction!$F$31=Construction!$R$22,Oeko!CL545,Oeko!EY545)</f>
        <v>1</v>
      </c>
      <c r="Z545" s="1998">
        <f>IF(Construction!$F$31=Construction!$R$22,Oeko!CM545,Oeko!EZ545)</f>
        <v>1</v>
      </c>
      <c r="AA545" s="1998">
        <f>IF(Construction!$F$31=Construction!$R$22,Oeko!CN545,Oeko!FA545)</f>
        <v>1</v>
      </c>
      <c r="AB545" s="1998">
        <f>IF(Construction!$F$31=Construction!$R$22,Oeko!CO545,Oeko!FB545)</f>
        <v>1</v>
      </c>
      <c r="AC545" s="1979">
        <f>IF(Construction!$F$31=Construction!$R$22,Oeko!CP545,Oeko!FC545)</f>
        <v>1</v>
      </c>
      <c r="AD545" s="1979">
        <f>IF(Construction!$F$31=Construction!$R$22,Oeko!CQ545,Oeko!FD545)</f>
        <v>1</v>
      </c>
      <c r="AE545" s="1979">
        <f>IF(Construction!$F$31=Construction!$R$22,Oeko!CR545,Oeko!FE545)</f>
        <v>1</v>
      </c>
      <c r="AF545" s="1979">
        <f>IF(Construction!$F$31=Construction!$R$22,Oeko!CS545,Oeko!FF545)</f>
        <v>1</v>
      </c>
      <c r="AG545" s="1979">
        <f>IF(Construction!$F$31=Construction!$R$22,Oeko!CT545,Oeko!FG545)</f>
        <v>1</v>
      </c>
      <c r="AH545" s="1998">
        <f>IF(Construction!$F$31=Construction!$R$22,Oeko!CU545,Oeko!FH545)</f>
        <v>1.3333333333333333</v>
      </c>
      <c r="AI545" s="1998">
        <f>IF(Construction!$F$31=Construction!$R$22,Oeko!CV545,Oeko!FI545)</f>
        <v>1.3333333333333333</v>
      </c>
      <c r="AJ545" s="1998">
        <f>IF(Construction!$F$31=Construction!$R$22,Oeko!CW545,Oeko!FJ545)</f>
        <v>1.3333333333333333</v>
      </c>
      <c r="AK545" s="1998">
        <f>IF(Construction!$F$31=Construction!$R$22,Oeko!CX545,Oeko!FK545)</f>
        <v>1.3333333333333333</v>
      </c>
      <c r="AL545" s="1998">
        <f>IF(Construction!$F$31=Construction!$R$22,Oeko!CY545,Oeko!FL545)</f>
        <v>1.3333333333333333</v>
      </c>
      <c r="AM545" s="1979">
        <f>IF(Construction!$F$31=Construction!$R$22,Oeko!CZ545,Oeko!FM545)</f>
        <v>1.0666666666666667</v>
      </c>
      <c r="AN545" s="1979">
        <f>IF(Construction!$F$31=Construction!$R$22,Oeko!DA545,Oeko!FN545)</f>
        <v>1.0666666666666667</v>
      </c>
      <c r="AO545" s="1979">
        <f>IF(Construction!$F$31=Construction!$R$22,Oeko!DB545,Oeko!FO545)</f>
        <v>1.0666666666666667</v>
      </c>
      <c r="AP545" s="1979">
        <f>IF(Construction!$F$31=Construction!$R$22,Oeko!DC545,Oeko!FP545)</f>
        <v>1.0666666666666667</v>
      </c>
      <c r="AQ545" s="1979">
        <f>IF(Construction!$F$31=Construction!$R$22,Oeko!DD545,Oeko!FQ545)</f>
        <v>1.0666666666666667</v>
      </c>
      <c r="AR545" s="1998">
        <f>IF(Construction!$F$31=Construction!$R$22,Oeko!DE545,Oeko!FR545)</f>
        <v>12.073289648882321</v>
      </c>
      <c r="AS545" s="1998">
        <f>IF(Construction!$F$31=Construction!$R$22,Oeko!DF545,Oeko!FS545)</f>
        <v>12.073289648882321</v>
      </c>
      <c r="AT545" s="1998">
        <f>IF(Construction!$F$31=Construction!$R$22,Oeko!DG545,Oeko!FT545)</f>
        <v>12.073289648882321</v>
      </c>
      <c r="AU545" s="1998">
        <f>IF(Construction!$F$31=Construction!$R$22,Oeko!DH545,Oeko!FU545)</f>
        <v>12.073289648882321</v>
      </c>
      <c r="AV545" s="1998">
        <f>IF(Construction!$F$31=Construction!$R$22,Oeko!DI545,Oeko!FV545)</f>
        <v>12.073289648882321</v>
      </c>
      <c r="AW545" s="1979">
        <f>IF(Construction!$F$31=Construction!$R$22,Oeko!DJ545,Oeko!FW545)</f>
        <v>10.71054155578228</v>
      </c>
      <c r="AX545" s="1979">
        <f>IF(Construction!$F$31=Construction!$R$22,Oeko!DK545,Oeko!FX545)</f>
        <v>10.71054155578228</v>
      </c>
      <c r="AY545" s="1979">
        <f>IF(Construction!$F$31=Construction!$R$22,Oeko!DL545,Oeko!FY545)</f>
        <v>10.71054155578228</v>
      </c>
      <c r="AZ545" s="1979">
        <f>IF(Construction!$F$31=Construction!$R$22,Oeko!DM545,Oeko!FZ545)</f>
        <v>10.71054155578228</v>
      </c>
      <c r="BA545" s="1979">
        <f>IF(Construction!$F$31=Construction!$R$22,Oeko!DN545,Oeko!GA545)</f>
        <v>10.71054155578228</v>
      </c>
      <c r="BB545" s="1998">
        <f>IF(Construction!$F$31=Construction!$R$22,Oeko!DO545,Oeko!GB545)</f>
        <v>0.97975662301212196</v>
      </c>
      <c r="BC545" s="1998">
        <f>IF(Construction!$F$31=Construction!$R$22,Oeko!DP545,Oeko!GC545)</f>
        <v>0.97975662301212196</v>
      </c>
      <c r="BD545" s="1998">
        <f>IF(Construction!$F$31=Construction!$R$22,Oeko!DQ545,Oeko!GD545)</f>
        <v>0.97975662301212196</v>
      </c>
      <c r="BE545" s="1998">
        <f>IF(Construction!$F$31=Construction!$R$22,Oeko!DR545,Oeko!GE545)</f>
        <v>0.97975662301212196</v>
      </c>
      <c r="BF545" s="1998">
        <f>IF(Construction!$F$31=Construction!$R$22,Oeko!DS545,Oeko!GF545)</f>
        <v>0.97975662301212196</v>
      </c>
      <c r="BG545" s="1979">
        <f>IF(Construction!$F$31=Construction!$R$22,Oeko!DT545,Oeko!GG545)</f>
        <v>0.9761487634781606</v>
      </c>
      <c r="BH545" s="1979">
        <f>IF(Construction!$F$31=Construction!$R$22,Oeko!DU545,Oeko!GH545)</f>
        <v>0.9761487634781606</v>
      </c>
      <c r="BI545" s="1979">
        <f>IF(Construction!$F$31=Construction!$R$22,Oeko!DV545,Oeko!GI545)</f>
        <v>0.9761487634781606</v>
      </c>
      <c r="BJ545" s="1979">
        <f>IF(Construction!$F$31=Construction!$R$22,Oeko!DW545,Oeko!GJ545)</f>
        <v>0.9761487634781606</v>
      </c>
      <c r="BK545" s="2021">
        <f>IF(Construction!$F$31=Construction!$R$22,Oeko!DX545,Oeko!GK545)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IF(Construction!$F$31=Construction!$R$22,Oeko!BQ546,Oeko!ED546)</f>
        <v>1</v>
      </c>
      <c r="E546" s="1998">
        <f>IF(Construction!$F$31=Construction!$R$22,Oeko!BR546,Oeko!EE546)</f>
        <v>1</v>
      </c>
      <c r="F546" s="1998">
        <f>IF(Construction!$F$31=Construction!$R$22,Oeko!BS546,Oeko!EF546)</f>
        <v>1</v>
      </c>
      <c r="G546" s="1998">
        <f>IF(Construction!$F$31=Construction!$R$22,Oeko!BT546,Oeko!EG546)</f>
        <v>1</v>
      </c>
      <c r="H546" s="1998">
        <f>IF(Construction!$F$31=Construction!$R$22,Oeko!BU546,Oeko!EH546)</f>
        <v>1</v>
      </c>
      <c r="I546" s="1979">
        <f>IF(Construction!$F$31=Construction!$R$22,Oeko!BV546,Oeko!EI546)</f>
        <v>0</v>
      </c>
      <c r="J546" s="1979">
        <f>IF(Construction!$F$31=Construction!$R$22,Oeko!BW546,Oeko!EJ546)</f>
        <v>0</v>
      </c>
      <c r="K546" s="1979">
        <f>IF(Construction!$F$31=Construction!$R$22,Oeko!BX546,Oeko!EK546)</f>
        <v>0</v>
      </c>
      <c r="L546" s="1979">
        <f>IF(Construction!$F$31=Construction!$R$22,Oeko!BY546,Oeko!EL546)</f>
        <v>0</v>
      </c>
      <c r="M546" s="1979">
        <f>IF(Construction!$F$31=Construction!$R$22,Oeko!BZ546,Oeko!EM546)</f>
        <v>0</v>
      </c>
      <c r="N546" s="1998">
        <f>IF(Construction!$F$31=Construction!$R$22,Oeko!CA546,Oeko!EN546)</f>
        <v>1</v>
      </c>
      <c r="O546" s="1998">
        <f>IF(Construction!$F$31=Construction!$R$22,Oeko!CB546,Oeko!EO546)</f>
        <v>1</v>
      </c>
      <c r="P546" s="1998">
        <f>IF(Construction!$F$31=Construction!$R$22,Oeko!CC546,Oeko!EP546)</f>
        <v>1</v>
      </c>
      <c r="Q546" s="1998">
        <f>IF(Construction!$F$31=Construction!$R$22,Oeko!CD546,Oeko!EQ546)</f>
        <v>1</v>
      </c>
      <c r="R546" s="1998">
        <f>IF(Construction!$F$31=Construction!$R$22,Oeko!CE546,Oeko!ER546)</f>
        <v>1</v>
      </c>
      <c r="S546" s="1979">
        <f>IF(Construction!$F$31=Construction!$R$22,Oeko!CF546,Oeko!ES546)</f>
        <v>1.2000000000000002</v>
      </c>
      <c r="T546" s="1979">
        <f>IF(Construction!$F$31=Construction!$R$22,Oeko!CG546,Oeko!ET546)</f>
        <v>1.2000000000000002</v>
      </c>
      <c r="U546" s="1979">
        <f>IF(Construction!$F$31=Construction!$R$22,Oeko!CH546,Oeko!EU546)</f>
        <v>1.2000000000000002</v>
      </c>
      <c r="V546" s="1979">
        <f>IF(Construction!$F$31=Construction!$R$22,Oeko!CI546,Oeko!EV546)</f>
        <v>1.2000000000000002</v>
      </c>
      <c r="W546" s="1979">
        <f>IF(Construction!$F$31=Construction!$R$22,Oeko!CJ546,Oeko!EW546)</f>
        <v>1.2000000000000002</v>
      </c>
      <c r="X546" s="1998">
        <f>IF(Construction!$F$31=Construction!$R$22,Oeko!CK546,Oeko!EX546)</f>
        <v>0.96</v>
      </c>
      <c r="Y546" s="1998">
        <f>IF(Construction!$F$31=Construction!$R$22,Oeko!CL546,Oeko!EY546)</f>
        <v>0.96</v>
      </c>
      <c r="Z546" s="1998">
        <f>IF(Construction!$F$31=Construction!$R$22,Oeko!CM546,Oeko!EZ546)</f>
        <v>0.96</v>
      </c>
      <c r="AA546" s="1998">
        <f>IF(Construction!$F$31=Construction!$R$22,Oeko!CN546,Oeko!FA546)</f>
        <v>0.96</v>
      </c>
      <c r="AB546" s="1998">
        <f>IF(Construction!$F$31=Construction!$R$22,Oeko!CO546,Oeko!FB546)</f>
        <v>0.96</v>
      </c>
      <c r="AC546" s="1979">
        <f>IF(Construction!$F$31=Construction!$R$22,Oeko!CP546,Oeko!FC546)</f>
        <v>1.0000000000000002</v>
      </c>
      <c r="AD546" s="1979">
        <f>IF(Construction!$F$31=Construction!$R$22,Oeko!CQ546,Oeko!FD546)</f>
        <v>1.0000000000000002</v>
      </c>
      <c r="AE546" s="1979">
        <f>IF(Construction!$F$31=Construction!$R$22,Oeko!CR546,Oeko!FE546)</f>
        <v>1.0000000000000002</v>
      </c>
      <c r="AF546" s="1979">
        <f>IF(Construction!$F$31=Construction!$R$22,Oeko!CS546,Oeko!FF546)</f>
        <v>1.0000000000000002</v>
      </c>
      <c r="AG546" s="1979">
        <f>IF(Construction!$F$31=Construction!$R$22,Oeko!CT546,Oeko!FG546)</f>
        <v>1.0000000000000002</v>
      </c>
      <c r="AH546" s="1998">
        <f>IF(Construction!$F$31=Construction!$R$22,Oeko!CU546,Oeko!FH546)</f>
        <v>1.333333333333333</v>
      </c>
      <c r="AI546" s="1998">
        <f>IF(Construction!$F$31=Construction!$R$22,Oeko!CV546,Oeko!FI546)</f>
        <v>1.333333333333333</v>
      </c>
      <c r="AJ546" s="1998">
        <f>IF(Construction!$F$31=Construction!$R$22,Oeko!CW546,Oeko!FJ546)</f>
        <v>1.333333333333333</v>
      </c>
      <c r="AK546" s="1998">
        <f>IF(Construction!$F$31=Construction!$R$22,Oeko!CX546,Oeko!FK546)</f>
        <v>1.333333333333333</v>
      </c>
      <c r="AL546" s="1998">
        <f>IF(Construction!$F$31=Construction!$R$22,Oeko!CY546,Oeko!FL546)</f>
        <v>1.333333333333333</v>
      </c>
      <c r="AM546" s="1979">
        <f>IF(Construction!$F$31=Construction!$R$22,Oeko!CZ546,Oeko!FM546)</f>
        <v>1</v>
      </c>
      <c r="AN546" s="1979">
        <f>IF(Construction!$F$31=Construction!$R$22,Oeko!DA546,Oeko!FN546)</f>
        <v>1</v>
      </c>
      <c r="AO546" s="1979">
        <f>IF(Construction!$F$31=Construction!$R$22,Oeko!DB546,Oeko!FO546)</f>
        <v>1</v>
      </c>
      <c r="AP546" s="1979">
        <f>IF(Construction!$F$31=Construction!$R$22,Oeko!DC546,Oeko!FP546)</f>
        <v>1</v>
      </c>
      <c r="AQ546" s="1979">
        <f>IF(Construction!$F$31=Construction!$R$22,Oeko!DD546,Oeko!FQ546)</f>
        <v>1</v>
      </c>
      <c r="AR546" s="1998">
        <f>IF(Construction!$F$31=Construction!$R$22,Oeko!DE546,Oeko!FR546)</f>
        <v>10.73181302122873</v>
      </c>
      <c r="AS546" s="1998">
        <f>IF(Construction!$F$31=Construction!$R$22,Oeko!DF546,Oeko!FS546)</f>
        <v>10.73181302122873</v>
      </c>
      <c r="AT546" s="1998">
        <f>IF(Construction!$F$31=Construction!$R$22,Oeko!DG546,Oeko!FT546)</f>
        <v>10.73181302122873</v>
      </c>
      <c r="AU546" s="1998">
        <f>IF(Construction!$F$31=Construction!$R$22,Oeko!DH546,Oeko!FU546)</f>
        <v>10.73181302122873</v>
      </c>
      <c r="AV546" s="1998">
        <f>IF(Construction!$F$31=Construction!$R$22,Oeko!DI546,Oeko!FV546)</f>
        <v>10.73181302122873</v>
      </c>
      <c r="AW546" s="1979">
        <f>IF(Construction!$F$31=Construction!$R$22,Oeko!DJ546,Oeko!FW546)</f>
        <v>10.71054155578228</v>
      </c>
      <c r="AX546" s="1979">
        <f>IF(Construction!$F$31=Construction!$R$22,Oeko!DK546,Oeko!FX546)</f>
        <v>10.71054155578228</v>
      </c>
      <c r="AY546" s="1979">
        <f>IF(Construction!$F$31=Construction!$R$22,Oeko!DL546,Oeko!FY546)</f>
        <v>10.71054155578228</v>
      </c>
      <c r="AZ546" s="1979">
        <f>IF(Construction!$F$31=Construction!$R$22,Oeko!DM546,Oeko!FZ546)</f>
        <v>10.71054155578228</v>
      </c>
      <c r="BA546" s="1979">
        <f>IF(Construction!$F$31=Construction!$R$22,Oeko!DN546,Oeko!GA546)</f>
        <v>10.71054155578228</v>
      </c>
      <c r="BB546" s="1998">
        <f>IF(Construction!$F$31=Construction!$R$22,Oeko!DO546,Oeko!GB546)</f>
        <v>0.97975662301212196</v>
      </c>
      <c r="BC546" s="1998">
        <f>IF(Construction!$F$31=Construction!$R$22,Oeko!DP546,Oeko!GC546)</f>
        <v>0.97975662301212196</v>
      </c>
      <c r="BD546" s="1998">
        <f>IF(Construction!$F$31=Construction!$R$22,Oeko!DQ546,Oeko!GD546)</f>
        <v>0.97975662301212196</v>
      </c>
      <c r="BE546" s="1998">
        <f>IF(Construction!$F$31=Construction!$R$22,Oeko!DR546,Oeko!GE546)</f>
        <v>0.97975662301212196</v>
      </c>
      <c r="BF546" s="1998">
        <f>IF(Construction!$F$31=Construction!$R$22,Oeko!DS546,Oeko!GF546)</f>
        <v>0.97975662301212196</v>
      </c>
      <c r="BG546" s="1979">
        <f>IF(Construction!$F$31=Construction!$R$22,Oeko!DT546,Oeko!GG546)</f>
        <v>0.97614876347816082</v>
      </c>
      <c r="BH546" s="1979">
        <f>IF(Construction!$F$31=Construction!$R$22,Oeko!DU546,Oeko!GH546)</f>
        <v>0.97614876347816082</v>
      </c>
      <c r="BI546" s="1979">
        <f>IF(Construction!$F$31=Construction!$R$22,Oeko!DV546,Oeko!GI546)</f>
        <v>0.97614876347816082</v>
      </c>
      <c r="BJ546" s="1979">
        <f>IF(Construction!$F$31=Construction!$R$22,Oeko!DW546,Oeko!GJ546)</f>
        <v>0.97614876347816082</v>
      </c>
      <c r="BK546" s="2021">
        <f>IF(Construction!$F$31=Construction!$R$22,Oeko!DX546,Oeko!GK546)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IF(Construction!$F$31=Construction!$R$22,Oeko!BQ547,Oeko!ED547)</f>
        <v>1</v>
      </c>
      <c r="E547" s="1998">
        <f>IF(Construction!$F$31=Construction!$R$22,Oeko!BR547,Oeko!EE547)</f>
        <v>1</v>
      </c>
      <c r="F547" s="1998">
        <f>IF(Construction!$F$31=Construction!$R$22,Oeko!BS547,Oeko!EF547)</f>
        <v>1</v>
      </c>
      <c r="G547" s="1998">
        <f>IF(Construction!$F$31=Construction!$R$22,Oeko!BT547,Oeko!EG547)</f>
        <v>1</v>
      </c>
      <c r="H547" s="1998">
        <f>IF(Construction!$F$31=Construction!$R$22,Oeko!BU547,Oeko!EH547)</f>
        <v>1</v>
      </c>
      <c r="I547" s="1979">
        <f>IF(Construction!$F$31=Construction!$R$22,Oeko!BV547,Oeko!EI547)</f>
        <v>0</v>
      </c>
      <c r="J547" s="1979">
        <f>IF(Construction!$F$31=Construction!$R$22,Oeko!BW547,Oeko!EJ547)</f>
        <v>0</v>
      </c>
      <c r="K547" s="1979">
        <f>IF(Construction!$F$31=Construction!$R$22,Oeko!BX547,Oeko!EK547)</f>
        <v>0</v>
      </c>
      <c r="L547" s="1979">
        <f>IF(Construction!$F$31=Construction!$R$22,Oeko!BY547,Oeko!EL547)</f>
        <v>0</v>
      </c>
      <c r="M547" s="1979">
        <f>IF(Construction!$F$31=Construction!$R$22,Oeko!BZ547,Oeko!EM547)</f>
        <v>0</v>
      </c>
      <c r="N547" s="1998">
        <f>IF(Construction!$F$31=Construction!$R$22,Oeko!CA547,Oeko!EN547)</f>
        <v>0.95238095238095233</v>
      </c>
      <c r="O547" s="1998">
        <f>IF(Construction!$F$31=Construction!$R$22,Oeko!CB547,Oeko!EO547)</f>
        <v>0.95238095238095233</v>
      </c>
      <c r="P547" s="1998">
        <f>IF(Construction!$F$31=Construction!$R$22,Oeko!CC547,Oeko!EP547)</f>
        <v>0.95238095238095233</v>
      </c>
      <c r="Q547" s="1998">
        <f>IF(Construction!$F$31=Construction!$R$22,Oeko!CD547,Oeko!EQ547)</f>
        <v>0.95238095238095233</v>
      </c>
      <c r="R547" s="1998">
        <f>IF(Construction!$F$31=Construction!$R$22,Oeko!CE547,Oeko!ER547)</f>
        <v>0.95238095238095233</v>
      </c>
      <c r="S547" s="1979">
        <f>IF(Construction!$F$31=Construction!$R$22,Oeko!CF547,Oeko!ES547)</f>
        <v>1.125</v>
      </c>
      <c r="T547" s="1979">
        <f>IF(Construction!$F$31=Construction!$R$22,Oeko!CG547,Oeko!ET547)</f>
        <v>1.125</v>
      </c>
      <c r="U547" s="1979">
        <f>IF(Construction!$F$31=Construction!$R$22,Oeko!CH547,Oeko!EU547)</f>
        <v>1.125</v>
      </c>
      <c r="V547" s="1979">
        <f>IF(Construction!$F$31=Construction!$R$22,Oeko!CI547,Oeko!EV547)</f>
        <v>1.125</v>
      </c>
      <c r="W547" s="1979">
        <f>IF(Construction!$F$31=Construction!$R$22,Oeko!CJ547,Oeko!EW547)</f>
        <v>1.125</v>
      </c>
      <c r="X547" s="1998">
        <f>IF(Construction!$F$31=Construction!$R$22,Oeko!CK547,Oeko!EX547)</f>
        <v>0.9</v>
      </c>
      <c r="Y547" s="1998">
        <f>IF(Construction!$F$31=Construction!$R$22,Oeko!CL547,Oeko!EY547)</f>
        <v>0.9</v>
      </c>
      <c r="Z547" s="1998">
        <f>IF(Construction!$F$31=Construction!$R$22,Oeko!CM547,Oeko!EZ547)</f>
        <v>0.9</v>
      </c>
      <c r="AA547" s="1998">
        <f>IF(Construction!$F$31=Construction!$R$22,Oeko!CN547,Oeko!FA547)</f>
        <v>0.9</v>
      </c>
      <c r="AB547" s="1998">
        <f>IF(Construction!$F$31=Construction!$R$22,Oeko!CO547,Oeko!FB547)</f>
        <v>0.9</v>
      </c>
      <c r="AC547" s="1979">
        <f>IF(Construction!$F$31=Construction!$R$22,Oeko!CP547,Oeko!FC547)</f>
        <v>1.0000000000000002</v>
      </c>
      <c r="AD547" s="1979">
        <f>IF(Construction!$F$31=Construction!$R$22,Oeko!CQ547,Oeko!FD547)</f>
        <v>1.0000000000000002</v>
      </c>
      <c r="AE547" s="1979">
        <f>IF(Construction!$F$31=Construction!$R$22,Oeko!CR547,Oeko!FE547)</f>
        <v>1.0000000000000002</v>
      </c>
      <c r="AF547" s="1979">
        <f>IF(Construction!$F$31=Construction!$R$22,Oeko!CS547,Oeko!FF547)</f>
        <v>1.0000000000000002</v>
      </c>
      <c r="AG547" s="1979">
        <f>IF(Construction!$F$31=Construction!$R$22,Oeko!CT547,Oeko!FG547)</f>
        <v>1.0000000000000002</v>
      </c>
      <c r="AH547" s="1998">
        <f>IF(Construction!$F$31=Construction!$R$22,Oeko!CU547,Oeko!FH547)</f>
        <v>1.333333333333333</v>
      </c>
      <c r="AI547" s="1998">
        <f>IF(Construction!$F$31=Construction!$R$22,Oeko!CV547,Oeko!FI547)</f>
        <v>1.333333333333333</v>
      </c>
      <c r="AJ547" s="1998">
        <f>IF(Construction!$F$31=Construction!$R$22,Oeko!CW547,Oeko!FJ547)</f>
        <v>1.333333333333333</v>
      </c>
      <c r="AK547" s="1998">
        <f>IF(Construction!$F$31=Construction!$R$22,Oeko!CX547,Oeko!FK547)</f>
        <v>1.333333333333333</v>
      </c>
      <c r="AL547" s="1998">
        <f>IF(Construction!$F$31=Construction!$R$22,Oeko!CY547,Oeko!FL547)</f>
        <v>1.333333333333333</v>
      </c>
      <c r="AM547" s="1979">
        <f>IF(Construction!$F$31=Construction!$R$22,Oeko!CZ547,Oeko!FM547)</f>
        <v>0.99999999999999989</v>
      </c>
      <c r="AN547" s="1979">
        <f>IF(Construction!$F$31=Construction!$R$22,Oeko!DA547,Oeko!FN547)</f>
        <v>0.99999999999999989</v>
      </c>
      <c r="AO547" s="1979">
        <f>IF(Construction!$F$31=Construction!$R$22,Oeko!DB547,Oeko!FO547)</f>
        <v>0.99999999999999989</v>
      </c>
      <c r="AP547" s="1979">
        <f>IF(Construction!$F$31=Construction!$R$22,Oeko!DC547,Oeko!FP547)</f>
        <v>0.99999999999999989</v>
      </c>
      <c r="AQ547" s="1979">
        <f>IF(Construction!$F$31=Construction!$R$22,Oeko!DD547,Oeko!FQ547)</f>
        <v>0.99999999999999989</v>
      </c>
      <c r="AR547" s="1998">
        <f>IF(Construction!$F$31=Construction!$R$22,Oeko!DE547,Oeko!FR547)</f>
        <v>10.73181302122873</v>
      </c>
      <c r="AS547" s="1998">
        <f>IF(Construction!$F$31=Construction!$R$22,Oeko!DF547,Oeko!FS547)</f>
        <v>10.73181302122873</v>
      </c>
      <c r="AT547" s="1998">
        <f>IF(Construction!$F$31=Construction!$R$22,Oeko!DG547,Oeko!FT547)</f>
        <v>10.73181302122873</v>
      </c>
      <c r="AU547" s="1998">
        <f>IF(Construction!$F$31=Construction!$R$22,Oeko!DH547,Oeko!FU547)</f>
        <v>10.73181302122873</v>
      </c>
      <c r="AV547" s="1998">
        <f>IF(Construction!$F$31=Construction!$R$22,Oeko!DI547,Oeko!FV547)</f>
        <v>10.73181302122873</v>
      </c>
      <c r="AW547" s="1979">
        <f>IF(Construction!$F$31=Construction!$R$22,Oeko!DJ547,Oeko!FW547)</f>
        <v>8.0329061668367086</v>
      </c>
      <c r="AX547" s="1979">
        <f>IF(Construction!$F$31=Construction!$R$22,Oeko!DK547,Oeko!FX547)</f>
        <v>8.0329061668367086</v>
      </c>
      <c r="AY547" s="1979">
        <f>IF(Construction!$F$31=Construction!$R$22,Oeko!DL547,Oeko!FY547)</f>
        <v>8.0329061668367086</v>
      </c>
      <c r="AZ547" s="1979">
        <f>IF(Construction!$F$31=Construction!$R$22,Oeko!DM547,Oeko!FZ547)</f>
        <v>8.0329061668367086</v>
      </c>
      <c r="BA547" s="1979">
        <f>IF(Construction!$F$31=Construction!$R$22,Oeko!DN547,Oeko!GA547)</f>
        <v>8.0329061668367086</v>
      </c>
      <c r="BB547" s="1998">
        <f>IF(Construction!$F$31=Construction!$R$22,Oeko!DO547,Oeko!GB547)</f>
        <v>0.97975662301212196</v>
      </c>
      <c r="BC547" s="1998">
        <f>IF(Construction!$F$31=Construction!$R$22,Oeko!DP547,Oeko!GC547)</f>
        <v>0.97975662301212196</v>
      </c>
      <c r="BD547" s="1998">
        <f>IF(Construction!$F$31=Construction!$R$22,Oeko!DQ547,Oeko!GD547)</f>
        <v>0.97975662301212196</v>
      </c>
      <c r="BE547" s="1998">
        <f>IF(Construction!$F$31=Construction!$R$22,Oeko!DR547,Oeko!GE547)</f>
        <v>0.97975662301212196</v>
      </c>
      <c r="BF547" s="1998">
        <f>IF(Construction!$F$31=Construction!$R$22,Oeko!DS547,Oeko!GF547)</f>
        <v>0.97975662301212196</v>
      </c>
      <c r="BG547" s="1979">
        <f>IF(Construction!$F$31=Construction!$R$22,Oeko!DT547,Oeko!GG547)</f>
        <v>0.9761487634781606</v>
      </c>
      <c r="BH547" s="1979">
        <f>IF(Construction!$F$31=Construction!$R$22,Oeko!DU547,Oeko!GH547)</f>
        <v>0.9761487634781606</v>
      </c>
      <c r="BI547" s="1979">
        <f>IF(Construction!$F$31=Construction!$R$22,Oeko!DV547,Oeko!GI547)</f>
        <v>0.9761487634781606</v>
      </c>
      <c r="BJ547" s="1979">
        <f>IF(Construction!$F$31=Construction!$R$22,Oeko!DW547,Oeko!GJ547)</f>
        <v>0.9761487634781606</v>
      </c>
      <c r="BK547" s="2021">
        <f>IF(Construction!$F$31=Construction!$R$22,Oeko!DX547,Oeko!GK547)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IF(Construction!$F$31=Construction!$R$22,Oeko!BQ548,Oeko!ED548)</f>
        <v>0.99999999999999989</v>
      </c>
      <c r="E548" s="1998">
        <f>IF(Construction!$F$31=Construction!$R$22,Oeko!BR548,Oeko!EE548)</f>
        <v>0.99999999999999989</v>
      </c>
      <c r="F548" s="1998">
        <f>IF(Construction!$F$31=Construction!$R$22,Oeko!BS548,Oeko!EF548)</f>
        <v>0.99999999999999989</v>
      </c>
      <c r="G548" s="1998">
        <f>IF(Construction!$F$31=Construction!$R$22,Oeko!BT548,Oeko!EG548)</f>
        <v>0.99999999999999989</v>
      </c>
      <c r="H548" s="1998">
        <f>IF(Construction!$F$31=Construction!$R$22,Oeko!BU548,Oeko!EH548)</f>
        <v>0.99999999999999989</v>
      </c>
      <c r="I548" s="1979">
        <f>IF(Construction!$F$31=Construction!$R$22,Oeko!BV548,Oeko!EI548)</f>
        <v>0</v>
      </c>
      <c r="J548" s="1979">
        <f>IF(Construction!$F$31=Construction!$R$22,Oeko!BW548,Oeko!EJ548)</f>
        <v>0</v>
      </c>
      <c r="K548" s="1979">
        <f>IF(Construction!$F$31=Construction!$R$22,Oeko!BX548,Oeko!EK548)</f>
        <v>0</v>
      </c>
      <c r="L548" s="1979">
        <f>IF(Construction!$F$31=Construction!$R$22,Oeko!BY548,Oeko!EL548)</f>
        <v>0</v>
      </c>
      <c r="M548" s="1979">
        <f>IF(Construction!$F$31=Construction!$R$22,Oeko!BZ548,Oeko!EM548)</f>
        <v>0</v>
      </c>
      <c r="N548" s="1998">
        <f>IF(Construction!$F$31=Construction!$R$22,Oeko!CA548,Oeko!EN548)</f>
        <v>0.91428571428571437</v>
      </c>
      <c r="O548" s="1998">
        <f>IF(Construction!$F$31=Construction!$R$22,Oeko!CB548,Oeko!EO548)</f>
        <v>0.91428571428571437</v>
      </c>
      <c r="P548" s="1998">
        <f>IF(Construction!$F$31=Construction!$R$22,Oeko!CC548,Oeko!EP548)</f>
        <v>0.91428571428571437</v>
      </c>
      <c r="Q548" s="1998">
        <f>IF(Construction!$F$31=Construction!$R$22,Oeko!CD548,Oeko!EQ548)</f>
        <v>0.91428571428571437</v>
      </c>
      <c r="R548" s="1998">
        <f>IF(Construction!$F$31=Construction!$R$22,Oeko!CE548,Oeko!ER548)</f>
        <v>0.91428571428571437</v>
      </c>
      <c r="S548" s="1979">
        <f>IF(Construction!$F$31=Construction!$R$22,Oeko!CF548,Oeko!ES548)</f>
        <v>1.1250000000000002</v>
      </c>
      <c r="T548" s="1979">
        <f>IF(Construction!$F$31=Construction!$R$22,Oeko!CG548,Oeko!ET548)</f>
        <v>1.1250000000000002</v>
      </c>
      <c r="U548" s="1979">
        <f>IF(Construction!$F$31=Construction!$R$22,Oeko!CH548,Oeko!EU548)</f>
        <v>1.1250000000000002</v>
      </c>
      <c r="V548" s="1979">
        <f>IF(Construction!$F$31=Construction!$R$22,Oeko!CI548,Oeko!EV548)</f>
        <v>1.1250000000000002</v>
      </c>
      <c r="W548" s="1979">
        <f>IF(Construction!$F$31=Construction!$R$22,Oeko!CJ548,Oeko!EW548)</f>
        <v>1.1250000000000002</v>
      </c>
      <c r="X548" s="1998">
        <f>IF(Construction!$F$31=Construction!$R$22,Oeko!CK548,Oeko!EX548)</f>
        <v>0.89999999999999991</v>
      </c>
      <c r="Y548" s="1998">
        <f>IF(Construction!$F$31=Construction!$R$22,Oeko!CL548,Oeko!EY548)</f>
        <v>0.89999999999999991</v>
      </c>
      <c r="Z548" s="1998">
        <f>IF(Construction!$F$31=Construction!$R$22,Oeko!CM548,Oeko!EZ548)</f>
        <v>0.89999999999999991</v>
      </c>
      <c r="AA548" s="1998">
        <f>IF(Construction!$F$31=Construction!$R$22,Oeko!CN548,Oeko!FA548)</f>
        <v>0.89999999999999991</v>
      </c>
      <c r="AB548" s="1998">
        <f>IF(Construction!$F$31=Construction!$R$22,Oeko!CO548,Oeko!FB548)</f>
        <v>0.89999999999999991</v>
      </c>
      <c r="AC548" s="1979">
        <f>IF(Construction!$F$31=Construction!$R$22,Oeko!CP548,Oeko!FC548)</f>
        <v>1.0000000000000002</v>
      </c>
      <c r="AD548" s="1979">
        <f>IF(Construction!$F$31=Construction!$R$22,Oeko!CQ548,Oeko!FD548)</f>
        <v>1.0000000000000002</v>
      </c>
      <c r="AE548" s="1979">
        <f>IF(Construction!$F$31=Construction!$R$22,Oeko!CR548,Oeko!FE548)</f>
        <v>1.0000000000000002</v>
      </c>
      <c r="AF548" s="1979">
        <f>IF(Construction!$F$31=Construction!$R$22,Oeko!CS548,Oeko!FF548)</f>
        <v>1.0000000000000002</v>
      </c>
      <c r="AG548" s="1979">
        <f>IF(Construction!$F$31=Construction!$R$22,Oeko!CT548,Oeko!FG548)</f>
        <v>1.0000000000000002</v>
      </c>
      <c r="AH548" s="1998">
        <f>IF(Construction!$F$31=Construction!$R$22,Oeko!CU548,Oeko!FH548)</f>
        <v>1.333333333333333</v>
      </c>
      <c r="AI548" s="1998">
        <f>IF(Construction!$F$31=Construction!$R$22,Oeko!CV548,Oeko!FI548)</f>
        <v>1.333333333333333</v>
      </c>
      <c r="AJ548" s="1998">
        <f>IF(Construction!$F$31=Construction!$R$22,Oeko!CW548,Oeko!FJ548)</f>
        <v>1.333333333333333</v>
      </c>
      <c r="AK548" s="1998">
        <f>IF(Construction!$F$31=Construction!$R$22,Oeko!CX548,Oeko!FK548)</f>
        <v>1.333333333333333</v>
      </c>
      <c r="AL548" s="1998">
        <f>IF(Construction!$F$31=Construction!$R$22,Oeko!CY548,Oeko!FL548)</f>
        <v>1.333333333333333</v>
      </c>
      <c r="AM548" s="1979">
        <f>IF(Construction!$F$31=Construction!$R$22,Oeko!CZ548,Oeko!FM548)</f>
        <v>1</v>
      </c>
      <c r="AN548" s="1979">
        <f>IF(Construction!$F$31=Construction!$R$22,Oeko!DA548,Oeko!FN548)</f>
        <v>1</v>
      </c>
      <c r="AO548" s="1979">
        <f>IF(Construction!$F$31=Construction!$R$22,Oeko!DB548,Oeko!FO548)</f>
        <v>1</v>
      </c>
      <c r="AP548" s="1979">
        <f>IF(Construction!$F$31=Construction!$R$22,Oeko!DC548,Oeko!FP548)</f>
        <v>1</v>
      </c>
      <c r="AQ548" s="1979">
        <f>IF(Construction!$F$31=Construction!$R$22,Oeko!DD548,Oeko!FQ548)</f>
        <v>1</v>
      </c>
      <c r="AR548" s="1998">
        <f>IF(Construction!$F$31=Construction!$R$22,Oeko!DE548,Oeko!FR548)</f>
        <v>8.0488597659215451</v>
      </c>
      <c r="AS548" s="1998">
        <f>IF(Construction!$F$31=Construction!$R$22,Oeko!DF548,Oeko!FS548)</f>
        <v>8.0488597659215451</v>
      </c>
      <c r="AT548" s="1998">
        <f>IF(Construction!$F$31=Construction!$R$22,Oeko!DG548,Oeko!FT548)</f>
        <v>8.0488597659215451</v>
      </c>
      <c r="AU548" s="1998">
        <f>IF(Construction!$F$31=Construction!$R$22,Oeko!DH548,Oeko!FU548)</f>
        <v>8.0488597659215451</v>
      </c>
      <c r="AV548" s="1998">
        <f>IF(Construction!$F$31=Construction!$R$22,Oeko!DI548,Oeko!FV548)</f>
        <v>8.0488597659215451</v>
      </c>
      <c r="AW548" s="1979">
        <f>IF(Construction!$F$31=Construction!$R$22,Oeko!DJ548,Oeko!FW548)</f>
        <v>8.0329061668367086</v>
      </c>
      <c r="AX548" s="1979">
        <f>IF(Construction!$F$31=Construction!$R$22,Oeko!DK548,Oeko!FX548)</f>
        <v>8.0329061668367086</v>
      </c>
      <c r="AY548" s="1979">
        <f>IF(Construction!$F$31=Construction!$R$22,Oeko!DL548,Oeko!FY548)</f>
        <v>8.0329061668367086</v>
      </c>
      <c r="AZ548" s="1979">
        <f>IF(Construction!$F$31=Construction!$R$22,Oeko!DM548,Oeko!FZ548)</f>
        <v>8.0329061668367086</v>
      </c>
      <c r="BA548" s="1979">
        <f>IF(Construction!$F$31=Construction!$R$22,Oeko!DN548,Oeko!GA548)</f>
        <v>8.0329061668367086</v>
      </c>
      <c r="BB548" s="1998">
        <f>IF(Construction!$F$31=Construction!$R$22,Oeko!DO548,Oeko!GB548)</f>
        <v>0.97975662301212196</v>
      </c>
      <c r="BC548" s="1998">
        <f>IF(Construction!$F$31=Construction!$R$22,Oeko!DP548,Oeko!GC548)</f>
        <v>0.97975662301212196</v>
      </c>
      <c r="BD548" s="1998">
        <f>IF(Construction!$F$31=Construction!$R$22,Oeko!DQ548,Oeko!GD548)</f>
        <v>0.97975662301212196</v>
      </c>
      <c r="BE548" s="1998">
        <f>IF(Construction!$F$31=Construction!$R$22,Oeko!DR548,Oeko!GE548)</f>
        <v>0.97975662301212196</v>
      </c>
      <c r="BF548" s="1998">
        <f>IF(Construction!$F$31=Construction!$R$22,Oeko!DS548,Oeko!GF548)</f>
        <v>0.97975662301212196</v>
      </c>
      <c r="BG548" s="1979">
        <f>IF(Construction!$F$31=Construction!$R$22,Oeko!DT548,Oeko!GG548)</f>
        <v>0.97614876347816082</v>
      </c>
      <c r="BH548" s="1979">
        <f>IF(Construction!$F$31=Construction!$R$22,Oeko!DU548,Oeko!GH548)</f>
        <v>0.97614876347816082</v>
      </c>
      <c r="BI548" s="1979">
        <f>IF(Construction!$F$31=Construction!$R$22,Oeko!DV548,Oeko!GI548)</f>
        <v>0.97614876347816082</v>
      </c>
      <c r="BJ548" s="1979">
        <f>IF(Construction!$F$31=Construction!$R$22,Oeko!DW548,Oeko!GJ548)</f>
        <v>0.97614876347816082</v>
      </c>
      <c r="BK548" s="2021">
        <f>IF(Construction!$F$31=Construction!$R$22,Oeko!DX548,Oeko!GK548)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IF(Construction!$F$31=Construction!$R$22,Oeko!BQ549,Oeko!ED549)</f>
        <v>0.99999999999999989</v>
      </c>
      <c r="E549" s="1998">
        <f>IF(Construction!$F$31=Construction!$R$22,Oeko!BR549,Oeko!EE549)</f>
        <v>0.99999999999999989</v>
      </c>
      <c r="F549" s="1998">
        <f>IF(Construction!$F$31=Construction!$R$22,Oeko!BS549,Oeko!EF549)</f>
        <v>0.99999999999999989</v>
      </c>
      <c r="G549" s="1998">
        <f>IF(Construction!$F$31=Construction!$R$22,Oeko!BT549,Oeko!EG549)</f>
        <v>0.99999999999999989</v>
      </c>
      <c r="H549" s="1998">
        <f>IF(Construction!$F$31=Construction!$R$22,Oeko!BU549,Oeko!EH549)</f>
        <v>0.99999999999999989</v>
      </c>
      <c r="I549" s="1979">
        <f>IF(Construction!$F$31=Construction!$R$22,Oeko!BV549,Oeko!EI549)</f>
        <v>0</v>
      </c>
      <c r="J549" s="1979">
        <f>IF(Construction!$F$31=Construction!$R$22,Oeko!BW549,Oeko!EJ549)</f>
        <v>0</v>
      </c>
      <c r="K549" s="1979">
        <f>IF(Construction!$F$31=Construction!$R$22,Oeko!BX549,Oeko!EK549)</f>
        <v>0</v>
      </c>
      <c r="L549" s="1979">
        <f>IF(Construction!$F$31=Construction!$R$22,Oeko!BY549,Oeko!EL549)</f>
        <v>0</v>
      </c>
      <c r="M549" s="1979">
        <f>IF(Construction!$F$31=Construction!$R$22,Oeko!BZ549,Oeko!EM549)</f>
        <v>0</v>
      </c>
      <c r="N549" s="1998">
        <f>IF(Construction!$F$31=Construction!$R$22,Oeko!CA549,Oeko!EN549)</f>
        <v>0.85714285714285721</v>
      </c>
      <c r="O549" s="1998">
        <f>IF(Construction!$F$31=Construction!$R$22,Oeko!CB549,Oeko!EO549)</f>
        <v>0.85714285714285721</v>
      </c>
      <c r="P549" s="1998">
        <f>IF(Construction!$F$31=Construction!$R$22,Oeko!CC549,Oeko!EP549)</f>
        <v>0.85714285714285721</v>
      </c>
      <c r="Q549" s="1998">
        <f>IF(Construction!$F$31=Construction!$R$22,Oeko!CD549,Oeko!EQ549)</f>
        <v>0.85714285714285721</v>
      </c>
      <c r="R549" s="1998">
        <f>IF(Construction!$F$31=Construction!$R$22,Oeko!CE549,Oeko!ER549)</f>
        <v>0.85714285714285721</v>
      </c>
      <c r="S549" s="1979">
        <f>IF(Construction!$F$31=Construction!$R$22,Oeko!CF549,Oeko!ES549)</f>
        <v>1.125</v>
      </c>
      <c r="T549" s="1979">
        <f>IF(Construction!$F$31=Construction!$R$22,Oeko!CG549,Oeko!ET549)</f>
        <v>1.125</v>
      </c>
      <c r="U549" s="1979">
        <f>IF(Construction!$F$31=Construction!$R$22,Oeko!CH549,Oeko!EU549)</f>
        <v>1.125</v>
      </c>
      <c r="V549" s="1979">
        <f>IF(Construction!$F$31=Construction!$R$22,Oeko!CI549,Oeko!EV549)</f>
        <v>1.125</v>
      </c>
      <c r="W549" s="1979">
        <f>IF(Construction!$F$31=Construction!$R$22,Oeko!CJ549,Oeko!EW549)</f>
        <v>1.125</v>
      </c>
      <c r="X549" s="1998">
        <f>IF(Construction!$F$31=Construction!$R$22,Oeko!CK549,Oeko!EX549)</f>
        <v>0.9</v>
      </c>
      <c r="Y549" s="1998">
        <f>IF(Construction!$F$31=Construction!$R$22,Oeko!CL549,Oeko!EY549)</f>
        <v>0.9</v>
      </c>
      <c r="Z549" s="1998">
        <f>IF(Construction!$F$31=Construction!$R$22,Oeko!CM549,Oeko!EZ549)</f>
        <v>0.9</v>
      </c>
      <c r="AA549" s="1998">
        <f>IF(Construction!$F$31=Construction!$R$22,Oeko!CN549,Oeko!FA549)</f>
        <v>0.9</v>
      </c>
      <c r="AB549" s="1998">
        <f>IF(Construction!$F$31=Construction!$R$22,Oeko!CO549,Oeko!FB549)</f>
        <v>0.9</v>
      </c>
      <c r="AC549" s="1979">
        <f>IF(Construction!$F$31=Construction!$R$22,Oeko!CP549,Oeko!FC549)</f>
        <v>1</v>
      </c>
      <c r="AD549" s="1979">
        <f>IF(Construction!$F$31=Construction!$R$22,Oeko!CQ549,Oeko!FD549)</f>
        <v>1</v>
      </c>
      <c r="AE549" s="1979">
        <f>IF(Construction!$F$31=Construction!$R$22,Oeko!CR549,Oeko!FE549)</f>
        <v>1</v>
      </c>
      <c r="AF549" s="1979">
        <f>IF(Construction!$F$31=Construction!$R$22,Oeko!CS549,Oeko!FF549)</f>
        <v>1</v>
      </c>
      <c r="AG549" s="1979">
        <f>IF(Construction!$F$31=Construction!$R$22,Oeko!CT549,Oeko!FG549)</f>
        <v>1</v>
      </c>
      <c r="AH549" s="1998">
        <f>IF(Construction!$F$31=Construction!$R$22,Oeko!CU549,Oeko!FH549)</f>
        <v>1.333333333333333</v>
      </c>
      <c r="AI549" s="1998">
        <f>IF(Construction!$F$31=Construction!$R$22,Oeko!CV549,Oeko!FI549)</f>
        <v>1.333333333333333</v>
      </c>
      <c r="AJ549" s="1998">
        <f>IF(Construction!$F$31=Construction!$R$22,Oeko!CW549,Oeko!FJ549)</f>
        <v>1.333333333333333</v>
      </c>
      <c r="AK549" s="1998">
        <f>IF(Construction!$F$31=Construction!$R$22,Oeko!CX549,Oeko!FK549)</f>
        <v>1.333333333333333</v>
      </c>
      <c r="AL549" s="1998">
        <f>IF(Construction!$F$31=Construction!$R$22,Oeko!CY549,Oeko!FL549)</f>
        <v>1.333333333333333</v>
      </c>
      <c r="AM549" s="1979">
        <f>IF(Construction!$F$31=Construction!$R$22,Oeko!CZ549,Oeko!FM549)</f>
        <v>1</v>
      </c>
      <c r="AN549" s="1979">
        <f>IF(Construction!$F$31=Construction!$R$22,Oeko!DA549,Oeko!FN549)</f>
        <v>1</v>
      </c>
      <c r="AO549" s="1979">
        <f>IF(Construction!$F$31=Construction!$R$22,Oeko!DB549,Oeko!FO549)</f>
        <v>1</v>
      </c>
      <c r="AP549" s="1979">
        <f>IF(Construction!$F$31=Construction!$R$22,Oeko!DC549,Oeko!FP549)</f>
        <v>1</v>
      </c>
      <c r="AQ549" s="1979">
        <f>IF(Construction!$F$31=Construction!$R$22,Oeko!DD549,Oeko!FQ549)</f>
        <v>1</v>
      </c>
      <c r="AR549" s="1998">
        <f>IF(Construction!$F$31=Construction!$R$22,Oeko!DE549,Oeko!FR549)</f>
        <v>8.0488597659215468</v>
      </c>
      <c r="AS549" s="1998">
        <f>IF(Construction!$F$31=Construction!$R$22,Oeko!DF549,Oeko!FS549)</f>
        <v>8.0488597659215468</v>
      </c>
      <c r="AT549" s="1998">
        <f>IF(Construction!$F$31=Construction!$R$22,Oeko!DG549,Oeko!FT549)</f>
        <v>8.0488597659215468</v>
      </c>
      <c r="AU549" s="1998">
        <f>IF(Construction!$F$31=Construction!$R$22,Oeko!DH549,Oeko!FU549)</f>
        <v>8.0488597659215468</v>
      </c>
      <c r="AV549" s="1998">
        <f>IF(Construction!$F$31=Construction!$R$22,Oeko!DI549,Oeko!FV549)</f>
        <v>8.0488597659215468</v>
      </c>
      <c r="AW549" s="1979">
        <f>IF(Construction!$F$31=Construction!$R$22,Oeko!DJ549,Oeko!FW549)</f>
        <v>8.0329061668367086</v>
      </c>
      <c r="AX549" s="1979">
        <f>IF(Construction!$F$31=Construction!$R$22,Oeko!DK549,Oeko!FX549)</f>
        <v>8.0329061668367086</v>
      </c>
      <c r="AY549" s="1979">
        <f>IF(Construction!$F$31=Construction!$R$22,Oeko!DL549,Oeko!FY549)</f>
        <v>8.0329061668367086</v>
      </c>
      <c r="AZ549" s="1979">
        <f>IF(Construction!$F$31=Construction!$R$22,Oeko!DM549,Oeko!FZ549)</f>
        <v>8.0329061668367086</v>
      </c>
      <c r="BA549" s="1979">
        <f>IF(Construction!$F$31=Construction!$R$22,Oeko!DN549,Oeko!GA549)</f>
        <v>8.0329061668367086</v>
      </c>
      <c r="BB549" s="1998">
        <f>IF(Construction!$F$31=Construction!$R$22,Oeko!DO549,Oeko!GB549)</f>
        <v>0.97975662301212196</v>
      </c>
      <c r="BC549" s="1998">
        <f>IF(Construction!$F$31=Construction!$R$22,Oeko!DP549,Oeko!GC549)</f>
        <v>0.97975662301212196</v>
      </c>
      <c r="BD549" s="1998">
        <f>IF(Construction!$F$31=Construction!$R$22,Oeko!DQ549,Oeko!GD549)</f>
        <v>0.97975662301212196</v>
      </c>
      <c r="BE549" s="1998">
        <f>IF(Construction!$F$31=Construction!$R$22,Oeko!DR549,Oeko!GE549)</f>
        <v>0.97975662301212196</v>
      </c>
      <c r="BF549" s="1998">
        <f>IF(Construction!$F$31=Construction!$R$22,Oeko!DS549,Oeko!GF549)</f>
        <v>0.97975662301212196</v>
      </c>
      <c r="BG549" s="1979">
        <f>IF(Construction!$F$31=Construction!$R$22,Oeko!DT549,Oeko!GG549)</f>
        <v>0.97614876347816082</v>
      </c>
      <c r="BH549" s="1979">
        <f>IF(Construction!$F$31=Construction!$R$22,Oeko!DU549,Oeko!GH549)</f>
        <v>0.97614876347816082</v>
      </c>
      <c r="BI549" s="1979">
        <f>IF(Construction!$F$31=Construction!$R$22,Oeko!DV549,Oeko!GI549)</f>
        <v>0.97614876347816082</v>
      </c>
      <c r="BJ549" s="1979">
        <f>IF(Construction!$F$31=Construction!$R$22,Oeko!DW549,Oeko!GJ549)</f>
        <v>0.97614876347816082</v>
      </c>
      <c r="BK549" s="2021">
        <f>IF(Construction!$F$31=Construction!$R$22,Oeko!DX549,Oeko!GK549)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IF(Construction!$F$31=Construction!$R$22,Oeko!BQ550,Oeko!ED550)</f>
        <v>0.99999999999999989</v>
      </c>
      <c r="E550" s="1998">
        <f>IF(Construction!$F$31=Construction!$R$22,Oeko!BR550,Oeko!EE550)</f>
        <v>0.99999999999999989</v>
      </c>
      <c r="F550" s="1998">
        <f>IF(Construction!$F$31=Construction!$R$22,Oeko!BS550,Oeko!EF550)</f>
        <v>0.99999999999999989</v>
      </c>
      <c r="G550" s="1998">
        <f>IF(Construction!$F$31=Construction!$R$22,Oeko!BT550,Oeko!EG550)</f>
        <v>0.99999999999999989</v>
      </c>
      <c r="H550" s="1998">
        <f>IF(Construction!$F$31=Construction!$R$22,Oeko!BU550,Oeko!EH550)</f>
        <v>0.99999999999999989</v>
      </c>
      <c r="I550" s="1979">
        <f>IF(Construction!$F$31=Construction!$R$22,Oeko!BV550,Oeko!EI550)</f>
        <v>0</v>
      </c>
      <c r="J550" s="1979">
        <f>IF(Construction!$F$31=Construction!$R$22,Oeko!BW550,Oeko!EJ550)</f>
        <v>0</v>
      </c>
      <c r="K550" s="1979">
        <f>IF(Construction!$F$31=Construction!$R$22,Oeko!BX550,Oeko!EK550)</f>
        <v>0</v>
      </c>
      <c r="L550" s="1979">
        <f>IF(Construction!$F$31=Construction!$R$22,Oeko!BY550,Oeko!EL550)</f>
        <v>0</v>
      </c>
      <c r="M550" s="1979">
        <f>IF(Construction!$F$31=Construction!$R$22,Oeko!BZ550,Oeko!EM550)</f>
        <v>0</v>
      </c>
      <c r="N550" s="1998">
        <f>IF(Construction!$F$31=Construction!$R$22,Oeko!CA550,Oeko!EN550)</f>
        <v>0.76190476190476186</v>
      </c>
      <c r="O550" s="1998">
        <f>IF(Construction!$F$31=Construction!$R$22,Oeko!CB550,Oeko!EO550)</f>
        <v>0.76190476190476186</v>
      </c>
      <c r="P550" s="1998">
        <f>IF(Construction!$F$31=Construction!$R$22,Oeko!CC550,Oeko!EP550)</f>
        <v>0.76190476190476186</v>
      </c>
      <c r="Q550" s="1998">
        <f>IF(Construction!$F$31=Construction!$R$22,Oeko!CD550,Oeko!EQ550)</f>
        <v>0.76190476190476186</v>
      </c>
      <c r="R550" s="1998">
        <f>IF(Construction!$F$31=Construction!$R$22,Oeko!CE550,Oeko!ER550)</f>
        <v>0.76190476190476186</v>
      </c>
      <c r="S550" s="1979">
        <f>IF(Construction!$F$31=Construction!$R$22,Oeko!CF550,Oeko!ES550)</f>
        <v>1.1250000000000002</v>
      </c>
      <c r="T550" s="1979">
        <f>IF(Construction!$F$31=Construction!$R$22,Oeko!CG550,Oeko!ET550)</f>
        <v>1.1250000000000002</v>
      </c>
      <c r="U550" s="1979">
        <f>IF(Construction!$F$31=Construction!$R$22,Oeko!CH550,Oeko!EU550)</f>
        <v>1.1250000000000002</v>
      </c>
      <c r="V550" s="1979">
        <f>IF(Construction!$F$31=Construction!$R$22,Oeko!CI550,Oeko!EV550)</f>
        <v>1.1250000000000002</v>
      </c>
      <c r="W550" s="1979">
        <f>IF(Construction!$F$31=Construction!$R$22,Oeko!CJ550,Oeko!EW550)</f>
        <v>1.1250000000000002</v>
      </c>
      <c r="X550" s="1998">
        <f>IF(Construction!$F$31=Construction!$R$22,Oeko!CK550,Oeko!EX550)</f>
        <v>0.8</v>
      </c>
      <c r="Y550" s="1998">
        <f>IF(Construction!$F$31=Construction!$R$22,Oeko!CL550,Oeko!EY550)</f>
        <v>0.8</v>
      </c>
      <c r="Z550" s="1998">
        <f>IF(Construction!$F$31=Construction!$R$22,Oeko!CM550,Oeko!EZ550)</f>
        <v>0.8</v>
      </c>
      <c r="AA550" s="1998">
        <f>IF(Construction!$F$31=Construction!$R$22,Oeko!CN550,Oeko!FA550)</f>
        <v>0.8</v>
      </c>
      <c r="AB550" s="1998">
        <f>IF(Construction!$F$31=Construction!$R$22,Oeko!CO550,Oeko!FB550)</f>
        <v>0.8</v>
      </c>
      <c r="AC550" s="1979">
        <f>IF(Construction!$F$31=Construction!$R$22,Oeko!CP550,Oeko!FC550)</f>
        <v>1.0000000000000002</v>
      </c>
      <c r="AD550" s="1979">
        <f>IF(Construction!$F$31=Construction!$R$22,Oeko!CQ550,Oeko!FD550)</f>
        <v>1.0000000000000002</v>
      </c>
      <c r="AE550" s="1979">
        <f>IF(Construction!$F$31=Construction!$R$22,Oeko!CR550,Oeko!FE550)</f>
        <v>1.0000000000000002</v>
      </c>
      <c r="AF550" s="1979">
        <f>IF(Construction!$F$31=Construction!$R$22,Oeko!CS550,Oeko!FF550)</f>
        <v>1.0000000000000002</v>
      </c>
      <c r="AG550" s="1979">
        <f>IF(Construction!$F$31=Construction!$R$22,Oeko!CT550,Oeko!FG550)</f>
        <v>1.0000000000000002</v>
      </c>
      <c r="AH550" s="1998">
        <f>IF(Construction!$F$31=Construction!$R$22,Oeko!CU550,Oeko!FH550)</f>
        <v>1</v>
      </c>
      <c r="AI550" s="1998">
        <f>IF(Construction!$F$31=Construction!$R$22,Oeko!CV550,Oeko!FI550)</f>
        <v>1</v>
      </c>
      <c r="AJ550" s="1998">
        <f>IF(Construction!$F$31=Construction!$R$22,Oeko!CW550,Oeko!FJ550)</f>
        <v>1</v>
      </c>
      <c r="AK550" s="1998">
        <f>IF(Construction!$F$31=Construction!$R$22,Oeko!CX550,Oeko!FK550)</f>
        <v>1</v>
      </c>
      <c r="AL550" s="1998">
        <f>IF(Construction!$F$31=Construction!$R$22,Oeko!CY550,Oeko!FL550)</f>
        <v>1</v>
      </c>
      <c r="AM550" s="1979">
        <f>IF(Construction!$F$31=Construction!$R$22,Oeko!CZ550,Oeko!FM550)</f>
        <v>0.88888888888888884</v>
      </c>
      <c r="AN550" s="1979">
        <f>IF(Construction!$F$31=Construction!$R$22,Oeko!DA550,Oeko!FN550)</f>
        <v>0.88888888888888884</v>
      </c>
      <c r="AO550" s="1979">
        <f>IF(Construction!$F$31=Construction!$R$22,Oeko!DB550,Oeko!FO550)</f>
        <v>0.88888888888888884</v>
      </c>
      <c r="AP550" s="1979">
        <f>IF(Construction!$F$31=Construction!$R$22,Oeko!DC550,Oeko!FP550)</f>
        <v>0.88888888888888884</v>
      </c>
      <c r="AQ550" s="1979">
        <f>IF(Construction!$F$31=Construction!$R$22,Oeko!DD550,Oeko!FQ550)</f>
        <v>0.88888888888888884</v>
      </c>
      <c r="AR550" s="1998">
        <f>IF(Construction!$F$31=Construction!$R$22,Oeko!DE550,Oeko!FR550)</f>
        <v>8.0488597659215468</v>
      </c>
      <c r="AS550" s="1998">
        <f>IF(Construction!$F$31=Construction!$R$22,Oeko!DF550,Oeko!FS550)</f>
        <v>8.0488597659215468</v>
      </c>
      <c r="AT550" s="1998">
        <f>IF(Construction!$F$31=Construction!$R$22,Oeko!DG550,Oeko!FT550)</f>
        <v>8.0488597659215468</v>
      </c>
      <c r="AU550" s="1998">
        <f>IF(Construction!$F$31=Construction!$R$22,Oeko!DH550,Oeko!FU550)</f>
        <v>8.0488597659215468</v>
      </c>
      <c r="AV550" s="1998">
        <f>IF(Construction!$F$31=Construction!$R$22,Oeko!DI550,Oeko!FV550)</f>
        <v>8.0488597659215468</v>
      </c>
      <c r="AW550" s="1979">
        <f>IF(Construction!$F$31=Construction!$R$22,Oeko!DJ550,Oeko!FW550)</f>
        <v>8.0329061668367068</v>
      </c>
      <c r="AX550" s="1979">
        <f>IF(Construction!$F$31=Construction!$R$22,Oeko!DK550,Oeko!FX550)</f>
        <v>8.0329061668367068</v>
      </c>
      <c r="AY550" s="1979">
        <f>IF(Construction!$F$31=Construction!$R$22,Oeko!DL550,Oeko!FY550)</f>
        <v>8.0329061668367068</v>
      </c>
      <c r="AZ550" s="1979">
        <f>IF(Construction!$F$31=Construction!$R$22,Oeko!DM550,Oeko!FZ550)</f>
        <v>8.0329061668367068</v>
      </c>
      <c r="BA550" s="1979">
        <f>IF(Construction!$F$31=Construction!$R$22,Oeko!DN550,Oeko!GA550)</f>
        <v>8.0329061668367068</v>
      </c>
      <c r="BB550" s="1998">
        <f>IF(Construction!$F$31=Construction!$R$22,Oeko!DO550,Oeko!GB550)</f>
        <v>0.97975662301212196</v>
      </c>
      <c r="BC550" s="1998">
        <f>IF(Construction!$F$31=Construction!$R$22,Oeko!DP550,Oeko!GC550)</f>
        <v>0.97975662301212196</v>
      </c>
      <c r="BD550" s="1998">
        <f>IF(Construction!$F$31=Construction!$R$22,Oeko!DQ550,Oeko!GD550)</f>
        <v>0.97975662301212196</v>
      </c>
      <c r="BE550" s="1998">
        <f>IF(Construction!$F$31=Construction!$R$22,Oeko!DR550,Oeko!GE550)</f>
        <v>0.97975662301212196</v>
      </c>
      <c r="BF550" s="1998">
        <f>IF(Construction!$F$31=Construction!$R$22,Oeko!DS550,Oeko!GF550)</f>
        <v>0.97975662301212196</v>
      </c>
      <c r="BG550" s="1979">
        <f>IF(Construction!$F$31=Construction!$R$22,Oeko!DT550,Oeko!GG550)</f>
        <v>0.9761487634781606</v>
      </c>
      <c r="BH550" s="1979">
        <f>IF(Construction!$F$31=Construction!$R$22,Oeko!DU550,Oeko!GH550)</f>
        <v>0.9761487634781606</v>
      </c>
      <c r="BI550" s="1979">
        <f>IF(Construction!$F$31=Construction!$R$22,Oeko!DV550,Oeko!GI550)</f>
        <v>0.9761487634781606</v>
      </c>
      <c r="BJ550" s="1979">
        <f>IF(Construction!$F$31=Construction!$R$22,Oeko!DW550,Oeko!GJ550)</f>
        <v>0.9761487634781606</v>
      </c>
      <c r="BK550" s="2021">
        <f>IF(Construction!$F$31=Construction!$R$22,Oeko!DX550,Oeko!GK550)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IF(Construction!$F$31=Construction!$R$22,Oeko!BQ551,Oeko!ED551)</f>
        <v>0.9722222222222221</v>
      </c>
      <c r="E551" s="1998">
        <f>IF(Construction!$F$31=Construction!$R$22,Oeko!BR551,Oeko!EE551)</f>
        <v>0.9722222222222221</v>
      </c>
      <c r="F551" s="1998">
        <f>IF(Construction!$F$31=Construction!$R$22,Oeko!BS551,Oeko!EF551)</f>
        <v>0.9722222222222221</v>
      </c>
      <c r="G551" s="1998">
        <f>IF(Construction!$F$31=Construction!$R$22,Oeko!BT551,Oeko!EG551)</f>
        <v>0.9722222222222221</v>
      </c>
      <c r="H551" s="1998">
        <f>IF(Construction!$F$31=Construction!$R$22,Oeko!BU551,Oeko!EH551)</f>
        <v>0.9722222222222221</v>
      </c>
      <c r="I551" s="1979">
        <f>IF(Construction!$F$31=Construction!$R$22,Oeko!BV551,Oeko!EI551)</f>
        <v>0</v>
      </c>
      <c r="J551" s="1979">
        <f>IF(Construction!$F$31=Construction!$R$22,Oeko!BW551,Oeko!EJ551)</f>
        <v>0</v>
      </c>
      <c r="K551" s="1979">
        <f>IF(Construction!$F$31=Construction!$R$22,Oeko!BX551,Oeko!EK551)</f>
        <v>0</v>
      </c>
      <c r="L551" s="1979">
        <f>IF(Construction!$F$31=Construction!$R$22,Oeko!BY551,Oeko!EL551)</f>
        <v>0</v>
      </c>
      <c r="M551" s="1979">
        <f>IF(Construction!$F$31=Construction!$R$22,Oeko!BZ551,Oeko!EM551)</f>
        <v>0</v>
      </c>
      <c r="N551" s="1998">
        <f>IF(Construction!$F$31=Construction!$R$22,Oeko!CA551,Oeko!EN551)</f>
        <v>0.76190476190476186</v>
      </c>
      <c r="O551" s="1998">
        <f>IF(Construction!$F$31=Construction!$R$22,Oeko!CB551,Oeko!EO551)</f>
        <v>0.76190476190476186</v>
      </c>
      <c r="P551" s="1998">
        <f>IF(Construction!$F$31=Construction!$R$22,Oeko!CC551,Oeko!EP551)</f>
        <v>0.76190476190476186</v>
      </c>
      <c r="Q551" s="1998">
        <f>IF(Construction!$F$31=Construction!$R$22,Oeko!CD551,Oeko!EQ551)</f>
        <v>0.76190476190476186</v>
      </c>
      <c r="R551" s="1998">
        <f>IF(Construction!$F$31=Construction!$R$22,Oeko!CE551,Oeko!ER551)</f>
        <v>0.76190476190476186</v>
      </c>
      <c r="S551" s="1979">
        <f>IF(Construction!$F$31=Construction!$R$22,Oeko!CF551,Oeko!ES551)</f>
        <v>1</v>
      </c>
      <c r="T551" s="1979">
        <f>IF(Construction!$F$31=Construction!$R$22,Oeko!CG551,Oeko!ET551)</f>
        <v>1</v>
      </c>
      <c r="U551" s="1979">
        <f>IF(Construction!$F$31=Construction!$R$22,Oeko!CH551,Oeko!EU551)</f>
        <v>1</v>
      </c>
      <c r="V551" s="1979">
        <f>IF(Construction!$F$31=Construction!$R$22,Oeko!CI551,Oeko!EV551)</f>
        <v>1</v>
      </c>
      <c r="W551" s="1979">
        <f>IF(Construction!$F$31=Construction!$R$22,Oeko!CJ551,Oeko!EW551)</f>
        <v>1</v>
      </c>
      <c r="X551" s="1998">
        <f>IF(Construction!$F$31=Construction!$R$22,Oeko!CK551,Oeko!EX551)</f>
        <v>0.79999999999999982</v>
      </c>
      <c r="Y551" s="1998">
        <f>IF(Construction!$F$31=Construction!$R$22,Oeko!CL551,Oeko!EY551)</f>
        <v>0.79999999999999982</v>
      </c>
      <c r="Z551" s="1998">
        <f>IF(Construction!$F$31=Construction!$R$22,Oeko!CM551,Oeko!EZ551)</f>
        <v>0.79999999999999982</v>
      </c>
      <c r="AA551" s="1998">
        <f>IF(Construction!$F$31=Construction!$R$22,Oeko!CN551,Oeko!FA551)</f>
        <v>0.79999999999999982</v>
      </c>
      <c r="AB551" s="1998">
        <f>IF(Construction!$F$31=Construction!$R$22,Oeko!CO551,Oeko!FB551)</f>
        <v>0.79999999999999982</v>
      </c>
      <c r="AC551" s="1979">
        <f>IF(Construction!$F$31=Construction!$R$22,Oeko!CP551,Oeko!FC551)</f>
        <v>1.0000000000000002</v>
      </c>
      <c r="AD551" s="1979">
        <f>IF(Construction!$F$31=Construction!$R$22,Oeko!CQ551,Oeko!FD551)</f>
        <v>1.0000000000000002</v>
      </c>
      <c r="AE551" s="1979">
        <f>IF(Construction!$F$31=Construction!$R$22,Oeko!CR551,Oeko!FE551)</f>
        <v>1.0000000000000002</v>
      </c>
      <c r="AF551" s="1979">
        <f>IF(Construction!$F$31=Construction!$R$22,Oeko!CS551,Oeko!FF551)</f>
        <v>1.0000000000000002</v>
      </c>
      <c r="AG551" s="1979">
        <f>IF(Construction!$F$31=Construction!$R$22,Oeko!CT551,Oeko!FG551)</f>
        <v>1.0000000000000002</v>
      </c>
      <c r="AH551" s="1998">
        <f>IF(Construction!$F$31=Construction!$R$22,Oeko!CU551,Oeko!FH551)</f>
        <v>0.99999999999999978</v>
      </c>
      <c r="AI551" s="1998">
        <f>IF(Construction!$F$31=Construction!$R$22,Oeko!CV551,Oeko!FI551)</f>
        <v>0.99999999999999978</v>
      </c>
      <c r="AJ551" s="1998">
        <f>IF(Construction!$F$31=Construction!$R$22,Oeko!CW551,Oeko!FJ551)</f>
        <v>0.99999999999999978</v>
      </c>
      <c r="AK551" s="1998">
        <f>IF(Construction!$F$31=Construction!$R$22,Oeko!CX551,Oeko!FK551)</f>
        <v>0.99999999999999978</v>
      </c>
      <c r="AL551" s="1998">
        <f>IF(Construction!$F$31=Construction!$R$22,Oeko!CY551,Oeko!FL551)</f>
        <v>0.99999999999999978</v>
      </c>
      <c r="AM551" s="1979">
        <f>IF(Construction!$F$31=Construction!$R$22,Oeko!CZ551,Oeko!FM551)</f>
        <v>0.88888888888888884</v>
      </c>
      <c r="AN551" s="1979">
        <f>IF(Construction!$F$31=Construction!$R$22,Oeko!DA551,Oeko!FN551)</f>
        <v>0.88888888888888884</v>
      </c>
      <c r="AO551" s="1979">
        <f>IF(Construction!$F$31=Construction!$R$22,Oeko!DB551,Oeko!FO551)</f>
        <v>0.88888888888888884</v>
      </c>
      <c r="AP551" s="1979">
        <f>IF(Construction!$F$31=Construction!$R$22,Oeko!DC551,Oeko!FP551)</f>
        <v>0.88888888888888884</v>
      </c>
      <c r="AQ551" s="1979">
        <f>IF(Construction!$F$31=Construction!$R$22,Oeko!DD551,Oeko!FQ551)</f>
        <v>0.88888888888888884</v>
      </c>
      <c r="AR551" s="1998">
        <f>IF(Construction!$F$31=Construction!$R$22,Oeko!DE551,Oeko!FR551)</f>
        <v>8.0488597659215451</v>
      </c>
      <c r="AS551" s="1998">
        <f>IF(Construction!$F$31=Construction!$R$22,Oeko!DF551,Oeko!FS551)</f>
        <v>8.0488597659215451</v>
      </c>
      <c r="AT551" s="1998">
        <f>IF(Construction!$F$31=Construction!$R$22,Oeko!DG551,Oeko!FT551)</f>
        <v>8.0488597659215451</v>
      </c>
      <c r="AU551" s="1998">
        <f>IF(Construction!$F$31=Construction!$R$22,Oeko!DH551,Oeko!FU551)</f>
        <v>8.0488597659215451</v>
      </c>
      <c r="AV551" s="1998">
        <f>IF(Construction!$F$31=Construction!$R$22,Oeko!DI551,Oeko!FV551)</f>
        <v>8.0488597659215451</v>
      </c>
      <c r="AW551" s="1979">
        <f>IF(Construction!$F$31=Construction!$R$22,Oeko!DJ551,Oeko!FW551)</f>
        <v>8.0329061668367086</v>
      </c>
      <c r="AX551" s="1979">
        <f>IF(Construction!$F$31=Construction!$R$22,Oeko!DK551,Oeko!FX551)</f>
        <v>8.0329061668367086</v>
      </c>
      <c r="AY551" s="1979">
        <f>IF(Construction!$F$31=Construction!$R$22,Oeko!DL551,Oeko!FY551)</f>
        <v>8.0329061668367086</v>
      </c>
      <c r="AZ551" s="1979">
        <f>IF(Construction!$F$31=Construction!$R$22,Oeko!DM551,Oeko!FZ551)</f>
        <v>8.0329061668367086</v>
      </c>
      <c r="BA551" s="1979">
        <f>IF(Construction!$F$31=Construction!$R$22,Oeko!DN551,Oeko!GA551)</f>
        <v>8.0329061668367086</v>
      </c>
      <c r="BB551" s="1998">
        <f>IF(Construction!$F$31=Construction!$R$22,Oeko!DO551,Oeko!GB551)</f>
        <v>0.97975662301212196</v>
      </c>
      <c r="BC551" s="1998">
        <f>IF(Construction!$F$31=Construction!$R$22,Oeko!DP551,Oeko!GC551)</f>
        <v>0.97975662301212196</v>
      </c>
      <c r="BD551" s="1998">
        <f>IF(Construction!$F$31=Construction!$R$22,Oeko!DQ551,Oeko!GD551)</f>
        <v>0.97975662301212196</v>
      </c>
      <c r="BE551" s="1998">
        <f>IF(Construction!$F$31=Construction!$R$22,Oeko!DR551,Oeko!GE551)</f>
        <v>0.97975662301212196</v>
      </c>
      <c r="BF551" s="1998">
        <f>IF(Construction!$F$31=Construction!$R$22,Oeko!DS551,Oeko!GF551)</f>
        <v>0.97975662301212196</v>
      </c>
      <c r="BG551" s="1979">
        <f>IF(Construction!$F$31=Construction!$R$22,Oeko!DT551,Oeko!GG551)</f>
        <v>0.9761487634781606</v>
      </c>
      <c r="BH551" s="1979">
        <f>IF(Construction!$F$31=Construction!$R$22,Oeko!DU551,Oeko!GH551)</f>
        <v>0.9761487634781606</v>
      </c>
      <c r="BI551" s="1979">
        <f>IF(Construction!$F$31=Construction!$R$22,Oeko!DV551,Oeko!GI551)</f>
        <v>0.9761487634781606</v>
      </c>
      <c r="BJ551" s="1979">
        <f>IF(Construction!$F$31=Construction!$R$22,Oeko!DW551,Oeko!GJ551)</f>
        <v>0.9761487634781606</v>
      </c>
      <c r="BK551" s="2021">
        <f>IF(Construction!$F$31=Construction!$R$22,Oeko!DX551,Oeko!GK551)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IF(Construction!$F$31=Construction!$R$22,Oeko!BQ552,Oeko!ED552)</f>
        <v>0.93333333333333335</v>
      </c>
      <c r="E552" s="1998">
        <f>IF(Construction!$F$31=Construction!$R$22,Oeko!BR552,Oeko!EE552)</f>
        <v>0.93333333333333335</v>
      </c>
      <c r="F552" s="1998">
        <f>IF(Construction!$F$31=Construction!$R$22,Oeko!BS552,Oeko!EF552)</f>
        <v>0.93333333333333335</v>
      </c>
      <c r="G552" s="1998">
        <f>IF(Construction!$F$31=Construction!$R$22,Oeko!BT552,Oeko!EG552)</f>
        <v>0.93333333333333335</v>
      </c>
      <c r="H552" s="1998">
        <f>IF(Construction!$F$31=Construction!$R$22,Oeko!BU552,Oeko!EH552)</f>
        <v>0.93333333333333335</v>
      </c>
      <c r="I552" s="1979">
        <f>IF(Construction!$F$31=Construction!$R$22,Oeko!BV552,Oeko!EI552)</f>
        <v>0</v>
      </c>
      <c r="J552" s="1979">
        <f>IF(Construction!$F$31=Construction!$R$22,Oeko!BW552,Oeko!EJ552)</f>
        <v>0</v>
      </c>
      <c r="K552" s="1979">
        <f>IF(Construction!$F$31=Construction!$R$22,Oeko!BX552,Oeko!EK552)</f>
        <v>0</v>
      </c>
      <c r="L552" s="1979">
        <f>IF(Construction!$F$31=Construction!$R$22,Oeko!BY552,Oeko!EL552)</f>
        <v>0</v>
      </c>
      <c r="M552" s="1979">
        <f>IF(Construction!$F$31=Construction!$R$22,Oeko!BZ552,Oeko!EM552)</f>
        <v>0</v>
      </c>
      <c r="N552" s="1998">
        <f>IF(Construction!$F$31=Construction!$R$22,Oeko!CA552,Oeko!EN552)</f>
        <v>0.5714285714285714</v>
      </c>
      <c r="O552" s="1998">
        <f>IF(Construction!$F$31=Construction!$R$22,Oeko!CB552,Oeko!EO552)</f>
        <v>0.5714285714285714</v>
      </c>
      <c r="P552" s="1998">
        <f>IF(Construction!$F$31=Construction!$R$22,Oeko!CC552,Oeko!EP552)</f>
        <v>0.5714285714285714</v>
      </c>
      <c r="Q552" s="1998">
        <f>IF(Construction!$F$31=Construction!$R$22,Oeko!CD552,Oeko!EQ552)</f>
        <v>0.5714285714285714</v>
      </c>
      <c r="R552" s="1998">
        <f>IF(Construction!$F$31=Construction!$R$22,Oeko!CE552,Oeko!ER552)</f>
        <v>0.5714285714285714</v>
      </c>
      <c r="S552" s="1979">
        <f>IF(Construction!$F$31=Construction!$R$22,Oeko!CF552,Oeko!ES552)</f>
        <v>0.75000000000000011</v>
      </c>
      <c r="T552" s="1979">
        <f>IF(Construction!$F$31=Construction!$R$22,Oeko!CG552,Oeko!ET552)</f>
        <v>0.75000000000000011</v>
      </c>
      <c r="U552" s="1979">
        <f>IF(Construction!$F$31=Construction!$R$22,Oeko!CH552,Oeko!EU552)</f>
        <v>0.75000000000000011</v>
      </c>
      <c r="V552" s="1979">
        <f>IF(Construction!$F$31=Construction!$R$22,Oeko!CI552,Oeko!EV552)</f>
        <v>0.75000000000000011</v>
      </c>
      <c r="W552" s="1979">
        <f>IF(Construction!$F$31=Construction!$R$22,Oeko!CJ552,Oeko!EW552)</f>
        <v>0.75000000000000011</v>
      </c>
      <c r="X552" s="1998">
        <f>IF(Construction!$F$31=Construction!$R$22,Oeko!CK552,Oeko!EX552)</f>
        <v>0.6</v>
      </c>
      <c r="Y552" s="1998">
        <f>IF(Construction!$F$31=Construction!$R$22,Oeko!CL552,Oeko!EY552)</f>
        <v>0.6</v>
      </c>
      <c r="Z552" s="1998">
        <f>IF(Construction!$F$31=Construction!$R$22,Oeko!CM552,Oeko!EZ552)</f>
        <v>0.6</v>
      </c>
      <c r="AA552" s="1998">
        <f>IF(Construction!$F$31=Construction!$R$22,Oeko!CN552,Oeko!FA552)</f>
        <v>0.6</v>
      </c>
      <c r="AB552" s="1998">
        <f>IF(Construction!$F$31=Construction!$R$22,Oeko!CO552,Oeko!FB552)</f>
        <v>0.6</v>
      </c>
      <c r="AC552" s="1979">
        <f>IF(Construction!$F$31=Construction!$R$22,Oeko!CP552,Oeko!FC552)</f>
        <v>1</v>
      </c>
      <c r="AD552" s="1979">
        <f>IF(Construction!$F$31=Construction!$R$22,Oeko!CQ552,Oeko!FD552)</f>
        <v>1</v>
      </c>
      <c r="AE552" s="1979">
        <f>IF(Construction!$F$31=Construction!$R$22,Oeko!CR552,Oeko!FE552)</f>
        <v>1</v>
      </c>
      <c r="AF552" s="1979">
        <f>IF(Construction!$F$31=Construction!$R$22,Oeko!CS552,Oeko!FF552)</f>
        <v>1</v>
      </c>
      <c r="AG552" s="1979">
        <f>IF(Construction!$F$31=Construction!$R$22,Oeko!CT552,Oeko!FG552)</f>
        <v>1</v>
      </c>
      <c r="AH552" s="1998">
        <f>IF(Construction!$F$31=Construction!$R$22,Oeko!CU552,Oeko!FH552)</f>
        <v>0.99999999999999978</v>
      </c>
      <c r="AI552" s="1998">
        <f>IF(Construction!$F$31=Construction!$R$22,Oeko!CV552,Oeko!FI552)</f>
        <v>0.99999999999999978</v>
      </c>
      <c r="AJ552" s="1998">
        <f>IF(Construction!$F$31=Construction!$R$22,Oeko!CW552,Oeko!FJ552)</f>
        <v>0.99999999999999978</v>
      </c>
      <c r="AK552" s="1998">
        <f>IF(Construction!$F$31=Construction!$R$22,Oeko!CX552,Oeko!FK552)</f>
        <v>0.99999999999999978</v>
      </c>
      <c r="AL552" s="1998">
        <f>IF(Construction!$F$31=Construction!$R$22,Oeko!CY552,Oeko!FL552)</f>
        <v>0.99999999999999978</v>
      </c>
      <c r="AM552" s="1979">
        <f>IF(Construction!$F$31=Construction!$R$22,Oeko!CZ552,Oeko!FM552)</f>
        <v>0.88888888888888884</v>
      </c>
      <c r="AN552" s="1979">
        <f>IF(Construction!$F$31=Construction!$R$22,Oeko!DA552,Oeko!FN552)</f>
        <v>0.88888888888888884</v>
      </c>
      <c r="AO552" s="1979">
        <f>IF(Construction!$F$31=Construction!$R$22,Oeko!DB552,Oeko!FO552)</f>
        <v>0.88888888888888884</v>
      </c>
      <c r="AP552" s="1979">
        <f>IF(Construction!$F$31=Construction!$R$22,Oeko!DC552,Oeko!FP552)</f>
        <v>0.88888888888888884</v>
      </c>
      <c r="AQ552" s="1979">
        <f>IF(Construction!$F$31=Construction!$R$22,Oeko!DD552,Oeko!FQ552)</f>
        <v>0.88888888888888884</v>
      </c>
      <c r="AR552" s="1998">
        <f>IF(Construction!$F$31=Construction!$R$22,Oeko!DE552,Oeko!FR552)</f>
        <v>8.0488597659215451</v>
      </c>
      <c r="AS552" s="1998">
        <f>IF(Construction!$F$31=Construction!$R$22,Oeko!DF552,Oeko!FS552)</f>
        <v>8.0488597659215451</v>
      </c>
      <c r="AT552" s="1998">
        <f>IF(Construction!$F$31=Construction!$R$22,Oeko!DG552,Oeko!FT552)</f>
        <v>8.0488597659215451</v>
      </c>
      <c r="AU552" s="1998">
        <f>IF(Construction!$F$31=Construction!$R$22,Oeko!DH552,Oeko!FU552)</f>
        <v>8.0488597659215451</v>
      </c>
      <c r="AV552" s="1998">
        <f>IF(Construction!$F$31=Construction!$R$22,Oeko!DI552,Oeko!FV552)</f>
        <v>8.0488597659215451</v>
      </c>
      <c r="AW552" s="1979">
        <f>IF(Construction!$F$31=Construction!$R$22,Oeko!DJ552,Oeko!FW552)</f>
        <v>8.0329061668367068</v>
      </c>
      <c r="AX552" s="1979">
        <f>IF(Construction!$F$31=Construction!$R$22,Oeko!DK552,Oeko!FX552)</f>
        <v>8.0329061668367068</v>
      </c>
      <c r="AY552" s="1979">
        <f>IF(Construction!$F$31=Construction!$R$22,Oeko!DL552,Oeko!FY552)</f>
        <v>8.0329061668367068</v>
      </c>
      <c r="AZ552" s="1979">
        <f>IF(Construction!$F$31=Construction!$R$22,Oeko!DM552,Oeko!FZ552)</f>
        <v>8.0329061668367068</v>
      </c>
      <c r="BA552" s="1979">
        <f>IF(Construction!$F$31=Construction!$R$22,Oeko!DN552,Oeko!GA552)</f>
        <v>8.0329061668367068</v>
      </c>
      <c r="BB552" s="1998">
        <f>IF(Construction!$F$31=Construction!$R$22,Oeko!DO552,Oeko!GB552)</f>
        <v>0.97975662301212196</v>
      </c>
      <c r="BC552" s="1998">
        <f>IF(Construction!$F$31=Construction!$R$22,Oeko!DP552,Oeko!GC552)</f>
        <v>0.97975662301212196</v>
      </c>
      <c r="BD552" s="1998">
        <f>IF(Construction!$F$31=Construction!$R$22,Oeko!DQ552,Oeko!GD552)</f>
        <v>0.97975662301212196</v>
      </c>
      <c r="BE552" s="1998">
        <f>IF(Construction!$F$31=Construction!$R$22,Oeko!DR552,Oeko!GE552)</f>
        <v>0.97975662301212196</v>
      </c>
      <c r="BF552" s="1998">
        <f>IF(Construction!$F$31=Construction!$R$22,Oeko!DS552,Oeko!GF552)</f>
        <v>0.97975662301212196</v>
      </c>
      <c r="BG552" s="1979">
        <f>IF(Construction!$F$31=Construction!$R$22,Oeko!DT552,Oeko!GG552)</f>
        <v>0.97614876347816082</v>
      </c>
      <c r="BH552" s="1979">
        <f>IF(Construction!$F$31=Construction!$R$22,Oeko!DU552,Oeko!GH552)</f>
        <v>0.97614876347816082</v>
      </c>
      <c r="BI552" s="1979">
        <f>IF(Construction!$F$31=Construction!$R$22,Oeko!DV552,Oeko!GI552)</f>
        <v>0.97614876347816082</v>
      </c>
      <c r="BJ552" s="1979">
        <f>IF(Construction!$F$31=Construction!$R$22,Oeko!DW552,Oeko!GJ552)</f>
        <v>0.97614876347816082</v>
      </c>
      <c r="BK552" s="2021">
        <f>IF(Construction!$F$31=Construction!$R$22,Oeko!DX552,Oeko!GK552)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Proportion de fenêtres </v>
      </c>
      <c r="D553" s="1998">
        <f>IF(Construction!$F$31=Construction!$R$22,Oeko!BQ553,Oeko!ED553)</f>
        <v>0</v>
      </c>
      <c r="E553" s="1998">
        <f>IF(Construction!$F$31=Construction!$R$22,Oeko!BR553,Oeko!EE553)</f>
        <v>0</v>
      </c>
      <c r="F553" s="1998">
        <f>IF(Construction!$F$31=Construction!$R$22,Oeko!BS553,Oeko!EF553)</f>
        <v>0</v>
      </c>
      <c r="G553" s="1998">
        <f>IF(Construction!$F$31=Construction!$R$22,Oeko!BT553,Oeko!EG553)</f>
        <v>0</v>
      </c>
      <c r="H553" s="1998">
        <f>IF(Construction!$F$31=Construction!$R$22,Oeko!BU553,Oeko!EH553)</f>
        <v>0</v>
      </c>
      <c r="I553" s="1979">
        <f>IF(Construction!$F$31=Construction!$R$22,Oeko!BV553,Oeko!EI553)</f>
        <v>0</v>
      </c>
      <c r="J553" s="1979">
        <f>IF(Construction!$F$31=Construction!$R$22,Oeko!BW553,Oeko!EJ553)</f>
        <v>0</v>
      </c>
      <c r="K553" s="1979">
        <f>IF(Construction!$F$31=Construction!$R$22,Oeko!BX553,Oeko!EK553)</f>
        <v>0</v>
      </c>
      <c r="L553" s="1979">
        <f>IF(Construction!$F$31=Construction!$R$22,Oeko!BY553,Oeko!EL553)</f>
        <v>0</v>
      </c>
      <c r="M553" s="1979">
        <f>IF(Construction!$F$31=Construction!$R$22,Oeko!BZ553,Oeko!EM553)</f>
        <v>0</v>
      </c>
      <c r="N553" s="1998">
        <f>IF(Construction!$F$31=Construction!$R$22,Oeko!CA553,Oeko!EN553)</f>
        <v>0</v>
      </c>
      <c r="O553" s="1998">
        <f>IF(Construction!$F$31=Construction!$R$22,Oeko!CB553,Oeko!EO553)</f>
        <v>0</v>
      </c>
      <c r="P553" s="1998">
        <f>IF(Construction!$F$31=Construction!$R$22,Oeko!CC553,Oeko!EP553)</f>
        <v>0</v>
      </c>
      <c r="Q553" s="1998">
        <f>IF(Construction!$F$31=Construction!$R$22,Oeko!CD553,Oeko!EQ553)</f>
        <v>0</v>
      </c>
      <c r="R553" s="1998">
        <f>IF(Construction!$F$31=Construction!$R$22,Oeko!CE553,Oeko!ER553)</f>
        <v>0</v>
      </c>
      <c r="S553" s="1979">
        <f>IF(Construction!$F$31=Construction!$R$22,Oeko!CF553,Oeko!ES553)</f>
        <v>0</v>
      </c>
      <c r="T553" s="1979">
        <f>IF(Construction!$F$31=Construction!$R$22,Oeko!CG553,Oeko!ET553)</f>
        <v>0</v>
      </c>
      <c r="U553" s="1979">
        <f>IF(Construction!$F$31=Construction!$R$22,Oeko!CH553,Oeko!EU553)</f>
        <v>0</v>
      </c>
      <c r="V553" s="1979">
        <f>IF(Construction!$F$31=Construction!$R$22,Oeko!CI553,Oeko!EV553)</f>
        <v>0</v>
      </c>
      <c r="W553" s="1979">
        <f>IF(Construction!$F$31=Construction!$R$22,Oeko!CJ553,Oeko!EW553)</f>
        <v>0</v>
      </c>
      <c r="X553" s="1998">
        <f>IF(Construction!$F$31=Construction!$R$22,Oeko!CK553,Oeko!EX553)</f>
        <v>0</v>
      </c>
      <c r="Y553" s="1998">
        <f>IF(Construction!$F$31=Construction!$R$22,Oeko!CL553,Oeko!EY553)</f>
        <v>0</v>
      </c>
      <c r="Z553" s="1998">
        <f>IF(Construction!$F$31=Construction!$R$22,Oeko!CM553,Oeko!EZ553)</f>
        <v>0</v>
      </c>
      <c r="AA553" s="1998">
        <f>IF(Construction!$F$31=Construction!$R$22,Oeko!CN553,Oeko!FA553)</f>
        <v>0</v>
      </c>
      <c r="AB553" s="1998">
        <f>IF(Construction!$F$31=Construction!$R$22,Oeko!CO553,Oeko!FB553)</f>
        <v>0</v>
      </c>
      <c r="AC553" s="1979">
        <f>IF(Construction!$F$31=Construction!$R$22,Oeko!CP553,Oeko!FC553)</f>
        <v>0</v>
      </c>
      <c r="AD553" s="1979">
        <f>IF(Construction!$F$31=Construction!$R$22,Oeko!CQ553,Oeko!FD553)</f>
        <v>0</v>
      </c>
      <c r="AE553" s="1979">
        <f>IF(Construction!$F$31=Construction!$R$22,Oeko!CR553,Oeko!FE553)</f>
        <v>0</v>
      </c>
      <c r="AF553" s="1979">
        <f>IF(Construction!$F$31=Construction!$R$22,Oeko!CS553,Oeko!FF553)</f>
        <v>0</v>
      </c>
      <c r="AG553" s="1979">
        <f>IF(Construction!$F$31=Construction!$R$22,Oeko!CT553,Oeko!FG553)</f>
        <v>0</v>
      </c>
      <c r="AH553" s="1998">
        <f>IF(Construction!$F$31=Construction!$R$22,Oeko!CU553,Oeko!FH553)</f>
        <v>0</v>
      </c>
      <c r="AI553" s="1998">
        <f>IF(Construction!$F$31=Construction!$R$22,Oeko!CV553,Oeko!FI553)</f>
        <v>0</v>
      </c>
      <c r="AJ553" s="1998">
        <f>IF(Construction!$F$31=Construction!$R$22,Oeko!CW553,Oeko!FJ553)</f>
        <v>0</v>
      </c>
      <c r="AK553" s="1998">
        <f>IF(Construction!$F$31=Construction!$R$22,Oeko!CX553,Oeko!FK553)</f>
        <v>0</v>
      </c>
      <c r="AL553" s="1998">
        <f>IF(Construction!$F$31=Construction!$R$22,Oeko!CY553,Oeko!FL553)</f>
        <v>0</v>
      </c>
      <c r="AM553" s="1979">
        <f>IF(Construction!$F$31=Construction!$R$22,Oeko!CZ553,Oeko!FM553)</f>
        <v>0</v>
      </c>
      <c r="AN553" s="1979">
        <f>IF(Construction!$F$31=Construction!$R$22,Oeko!DA553,Oeko!FN553)</f>
        <v>0</v>
      </c>
      <c r="AO553" s="1979">
        <f>IF(Construction!$F$31=Construction!$R$22,Oeko!DB553,Oeko!FO553)</f>
        <v>0</v>
      </c>
      <c r="AP553" s="1979">
        <f>IF(Construction!$F$31=Construction!$R$22,Oeko!DC553,Oeko!FP553)</f>
        <v>0</v>
      </c>
      <c r="AQ553" s="1979">
        <f>IF(Construction!$F$31=Construction!$R$22,Oeko!DD553,Oeko!FQ553)</f>
        <v>0</v>
      </c>
      <c r="AR553" s="1998">
        <f>IF(Construction!$F$31=Construction!$R$22,Oeko!DE553,Oeko!FR553)</f>
        <v>0</v>
      </c>
      <c r="AS553" s="1998">
        <f>IF(Construction!$F$31=Construction!$R$22,Oeko!DF553,Oeko!FS553)</f>
        <v>0</v>
      </c>
      <c r="AT553" s="1998">
        <f>IF(Construction!$F$31=Construction!$R$22,Oeko!DG553,Oeko!FT553)</f>
        <v>0</v>
      </c>
      <c r="AU553" s="1998">
        <f>IF(Construction!$F$31=Construction!$R$22,Oeko!DH553,Oeko!FU553)</f>
        <v>0</v>
      </c>
      <c r="AV553" s="1998">
        <f>IF(Construction!$F$31=Construction!$R$22,Oeko!DI553,Oeko!FV553)</f>
        <v>0</v>
      </c>
      <c r="AW553" s="1979">
        <f>IF(Construction!$F$31=Construction!$R$22,Oeko!DJ553,Oeko!FW553)</f>
        <v>0</v>
      </c>
      <c r="AX553" s="1979">
        <f>IF(Construction!$F$31=Construction!$R$22,Oeko!DK553,Oeko!FX553)</f>
        <v>0</v>
      </c>
      <c r="AY553" s="1979">
        <f>IF(Construction!$F$31=Construction!$R$22,Oeko!DL553,Oeko!FY553)</f>
        <v>0</v>
      </c>
      <c r="AZ553" s="1979">
        <f>IF(Construction!$F$31=Construction!$R$22,Oeko!DM553,Oeko!FZ553)</f>
        <v>0</v>
      </c>
      <c r="BA553" s="1979">
        <f>IF(Construction!$F$31=Construction!$R$22,Oeko!DN553,Oeko!GA553)</f>
        <v>0</v>
      </c>
      <c r="BB553" s="1998">
        <f>IF(Construction!$F$31=Construction!$R$22,Oeko!DO553,Oeko!GB553)</f>
        <v>0</v>
      </c>
      <c r="BC553" s="1998">
        <f>IF(Construction!$F$31=Construction!$R$22,Oeko!DP553,Oeko!GC553)</f>
        <v>0</v>
      </c>
      <c r="BD553" s="1998">
        <f>IF(Construction!$F$31=Construction!$R$22,Oeko!DQ553,Oeko!GD553)</f>
        <v>0</v>
      </c>
      <c r="BE553" s="1998">
        <f>IF(Construction!$F$31=Construction!$R$22,Oeko!DR553,Oeko!GE553)</f>
        <v>0</v>
      </c>
      <c r="BF553" s="1998">
        <f>IF(Construction!$F$31=Construction!$R$22,Oeko!DS553,Oeko!GF553)</f>
        <v>0</v>
      </c>
      <c r="BG553" s="1979">
        <f>IF(Construction!$F$31=Construction!$R$22,Oeko!DT553,Oeko!GG553)</f>
        <v>0</v>
      </c>
      <c r="BH553" s="1979">
        <f>IF(Construction!$F$31=Construction!$R$22,Oeko!DU553,Oeko!GH553)</f>
        <v>0</v>
      </c>
      <c r="BI553" s="1979">
        <f>IF(Construction!$F$31=Construction!$R$22,Oeko!DV553,Oeko!GI553)</f>
        <v>0</v>
      </c>
      <c r="BJ553" s="1979">
        <f>IF(Construction!$F$31=Construction!$R$22,Oeko!DW553,Oeko!GJ553)</f>
        <v>0</v>
      </c>
      <c r="BK553" s="2021">
        <f>IF(Construction!$F$31=Construction!$R$22,Oeko!DX553,Oeko!GK553)</f>
        <v>0</v>
      </c>
      <c r="BN553" s="2018"/>
      <c r="BO553" s="2">
        <v>13</v>
      </c>
      <c r="BP553" s="2" t="str">
        <f>CONCATENATE($U$8," ",GV$7)</f>
        <v xml:space="preserve">Proportion de fenêtres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Proportion de fenêtres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Proportion de fenêtres </v>
      </c>
      <c r="D554" s="1998">
        <f>IF(Construction!$F$31=Construction!$R$22,Oeko!BQ554,Oeko!ED554)</f>
        <v>0</v>
      </c>
      <c r="E554" s="1998">
        <f>IF(Construction!$F$31=Construction!$R$22,Oeko!BR554,Oeko!EE554)</f>
        <v>0</v>
      </c>
      <c r="F554" s="1998">
        <f>IF(Construction!$F$31=Construction!$R$22,Oeko!BS554,Oeko!EF554)</f>
        <v>0</v>
      </c>
      <c r="G554" s="1998">
        <f>IF(Construction!$F$31=Construction!$R$22,Oeko!BT554,Oeko!EG554)</f>
        <v>0</v>
      </c>
      <c r="H554" s="1998">
        <f>IF(Construction!$F$31=Construction!$R$22,Oeko!BU554,Oeko!EH554)</f>
        <v>0</v>
      </c>
      <c r="I554" s="1979">
        <f>IF(Construction!$F$31=Construction!$R$22,Oeko!BV554,Oeko!EI554)</f>
        <v>0</v>
      </c>
      <c r="J554" s="1979">
        <f>IF(Construction!$F$31=Construction!$R$22,Oeko!BW554,Oeko!EJ554)</f>
        <v>0</v>
      </c>
      <c r="K554" s="1979">
        <f>IF(Construction!$F$31=Construction!$R$22,Oeko!BX554,Oeko!EK554)</f>
        <v>0</v>
      </c>
      <c r="L554" s="1979">
        <f>IF(Construction!$F$31=Construction!$R$22,Oeko!BY554,Oeko!EL554)</f>
        <v>0</v>
      </c>
      <c r="M554" s="1979">
        <f>IF(Construction!$F$31=Construction!$R$22,Oeko!BZ554,Oeko!EM554)</f>
        <v>0</v>
      </c>
      <c r="N554" s="1998">
        <f>IF(Construction!$F$31=Construction!$R$22,Oeko!CA554,Oeko!EN554)</f>
        <v>0</v>
      </c>
      <c r="O554" s="1998">
        <f>IF(Construction!$F$31=Construction!$R$22,Oeko!CB554,Oeko!EO554)</f>
        <v>0</v>
      </c>
      <c r="P554" s="1998">
        <f>IF(Construction!$F$31=Construction!$R$22,Oeko!CC554,Oeko!EP554)</f>
        <v>0</v>
      </c>
      <c r="Q554" s="1998">
        <f>IF(Construction!$F$31=Construction!$R$22,Oeko!CD554,Oeko!EQ554)</f>
        <v>0</v>
      </c>
      <c r="R554" s="1998">
        <f>IF(Construction!$F$31=Construction!$R$22,Oeko!CE554,Oeko!ER554)</f>
        <v>0</v>
      </c>
      <c r="S554" s="1979">
        <f>IF(Construction!$F$31=Construction!$R$22,Oeko!CF554,Oeko!ES554)</f>
        <v>0</v>
      </c>
      <c r="T554" s="1979">
        <f>IF(Construction!$F$31=Construction!$R$22,Oeko!CG554,Oeko!ET554)</f>
        <v>0</v>
      </c>
      <c r="U554" s="1979">
        <f>IF(Construction!$F$31=Construction!$R$22,Oeko!CH554,Oeko!EU554)</f>
        <v>0</v>
      </c>
      <c r="V554" s="1979">
        <f>IF(Construction!$F$31=Construction!$R$22,Oeko!CI554,Oeko!EV554)</f>
        <v>0</v>
      </c>
      <c r="W554" s="1979">
        <f>IF(Construction!$F$31=Construction!$R$22,Oeko!CJ554,Oeko!EW554)</f>
        <v>0</v>
      </c>
      <c r="X554" s="1998">
        <f>IF(Construction!$F$31=Construction!$R$22,Oeko!CK554,Oeko!EX554)</f>
        <v>0</v>
      </c>
      <c r="Y554" s="1998">
        <f>IF(Construction!$F$31=Construction!$R$22,Oeko!CL554,Oeko!EY554)</f>
        <v>0</v>
      </c>
      <c r="Z554" s="1998">
        <f>IF(Construction!$F$31=Construction!$R$22,Oeko!CM554,Oeko!EZ554)</f>
        <v>0</v>
      </c>
      <c r="AA554" s="1998">
        <f>IF(Construction!$F$31=Construction!$R$22,Oeko!CN554,Oeko!FA554)</f>
        <v>0</v>
      </c>
      <c r="AB554" s="1998">
        <f>IF(Construction!$F$31=Construction!$R$22,Oeko!CO554,Oeko!FB554)</f>
        <v>0</v>
      </c>
      <c r="AC554" s="1979">
        <f>IF(Construction!$F$31=Construction!$R$22,Oeko!CP554,Oeko!FC554)</f>
        <v>0</v>
      </c>
      <c r="AD554" s="1979">
        <f>IF(Construction!$F$31=Construction!$R$22,Oeko!CQ554,Oeko!FD554)</f>
        <v>0</v>
      </c>
      <c r="AE554" s="1979">
        <f>IF(Construction!$F$31=Construction!$R$22,Oeko!CR554,Oeko!FE554)</f>
        <v>0</v>
      </c>
      <c r="AF554" s="1979">
        <f>IF(Construction!$F$31=Construction!$R$22,Oeko!CS554,Oeko!FF554)</f>
        <v>0</v>
      </c>
      <c r="AG554" s="1979">
        <f>IF(Construction!$F$31=Construction!$R$22,Oeko!CT554,Oeko!FG554)</f>
        <v>0</v>
      </c>
      <c r="AH554" s="1998">
        <f>IF(Construction!$F$31=Construction!$R$22,Oeko!CU554,Oeko!FH554)</f>
        <v>0</v>
      </c>
      <c r="AI554" s="1998">
        <f>IF(Construction!$F$31=Construction!$R$22,Oeko!CV554,Oeko!FI554)</f>
        <v>0</v>
      </c>
      <c r="AJ554" s="1998">
        <f>IF(Construction!$F$31=Construction!$R$22,Oeko!CW554,Oeko!FJ554)</f>
        <v>0</v>
      </c>
      <c r="AK554" s="1998">
        <f>IF(Construction!$F$31=Construction!$R$22,Oeko!CX554,Oeko!FK554)</f>
        <v>0</v>
      </c>
      <c r="AL554" s="1998">
        <f>IF(Construction!$F$31=Construction!$R$22,Oeko!CY554,Oeko!FL554)</f>
        <v>0</v>
      </c>
      <c r="AM554" s="1979">
        <f>IF(Construction!$F$31=Construction!$R$22,Oeko!CZ554,Oeko!FM554)</f>
        <v>0</v>
      </c>
      <c r="AN554" s="1979">
        <f>IF(Construction!$F$31=Construction!$R$22,Oeko!DA554,Oeko!FN554)</f>
        <v>0</v>
      </c>
      <c r="AO554" s="1979">
        <f>IF(Construction!$F$31=Construction!$R$22,Oeko!DB554,Oeko!FO554)</f>
        <v>0</v>
      </c>
      <c r="AP554" s="1979">
        <f>IF(Construction!$F$31=Construction!$R$22,Oeko!DC554,Oeko!FP554)</f>
        <v>0</v>
      </c>
      <c r="AQ554" s="1979">
        <f>IF(Construction!$F$31=Construction!$R$22,Oeko!DD554,Oeko!FQ554)</f>
        <v>0</v>
      </c>
      <c r="AR554" s="1998">
        <f>IF(Construction!$F$31=Construction!$R$22,Oeko!DE554,Oeko!FR554)</f>
        <v>0</v>
      </c>
      <c r="AS554" s="1998">
        <f>IF(Construction!$F$31=Construction!$R$22,Oeko!DF554,Oeko!FS554)</f>
        <v>0</v>
      </c>
      <c r="AT554" s="1998">
        <f>IF(Construction!$F$31=Construction!$R$22,Oeko!DG554,Oeko!FT554)</f>
        <v>0</v>
      </c>
      <c r="AU554" s="1998">
        <f>IF(Construction!$F$31=Construction!$R$22,Oeko!DH554,Oeko!FU554)</f>
        <v>0</v>
      </c>
      <c r="AV554" s="1998">
        <f>IF(Construction!$F$31=Construction!$R$22,Oeko!DI554,Oeko!FV554)</f>
        <v>0</v>
      </c>
      <c r="AW554" s="1979">
        <f>IF(Construction!$F$31=Construction!$R$22,Oeko!DJ554,Oeko!FW554)</f>
        <v>0</v>
      </c>
      <c r="AX554" s="1979">
        <f>IF(Construction!$F$31=Construction!$R$22,Oeko!DK554,Oeko!FX554)</f>
        <v>0</v>
      </c>
      <c r="AY554" s="1979">
        <f>IF(Construction!$F$31=Construction!$R$22,Oeko!DL554,Oeko!FY554)</f>
        <v>0</v>
      </c>
      <c r="AZ554" s="1979">
        <f>IF(Construction!$F$31=Construction!$R$22,Oeko!DM554,Oeko!FZ554)</f>
        <v>0</v>
      </c>
      <c r="BA554" s="1979">
        <f>IF(Construction!$F$31=Construction!$R$22,Oeko!DN554,Oeko!GA554)</f>
        <v>0</v>
      </c>
      <c r="BB554" s="1998">
        <f>IF(Construction!$F$31=Construction!$R$22,Oeko!DO554,Oeko!GB554)</f>
        <v>0</v>
      </c>
      <c r="BC554" s="1998">
        <f>IF(Construction!$F$31=Construction!$R$22,Oeko!DP554,Oeko!GC554)</f>
        <v>0</v>
      </c>
      <c r="BD554" s="1998">
        <f>IF(Construction!$F$31=Construction!$R$22,Oeko!DQ554,Oeko!GD554)</f>
        <v>0</v>
      </c>
      <c r="BE554" s="1998">
        <f>IF(Construction!$F$31=Construction!$R$22,Oeko!DR554,Oeko!GE554)</f>
        <v>0</v>
      </c>
      <c r="BF554" s="1998">
        <f>IF(Construction!$F$31=Construction!$R$22,Oeko!DS554,Oeko!GF554)</f>
        <v>0</v>
      </c>
      <c r="BG554" s="1979">
        <f>IF(Construction!$F$31=Construction!$R$22,Oeko!DT554,Oeko!GG554)</f>
        <v>0</v>
      </c>
      <c r="BH554" s="1979">
        <f>IF(Construction!$F$31=Construction!$R$22,Oeko!DU554,Oeko!GH554)</f>
        <v>0</v>
      </c>
      <c r="BI554" s="1979">
        <f>IF(Construction!$F$31=Construction!$R$22,Oeko!DV554,Oeko!GI554)</f>
        <v>0</v>
      </c>
      <c r="BJ554" s="1979">
        <f>IF(Construction!$F$31=Construction!$R$22,Oeko!DW554,Oeko!GJ554)</f>
        <v>0</v>
      </c>
      <c r="BK554" s="2021">
        <f>IF(Construction!$F$31=Construction!$R$22,Oeko!DX554,Oeko!GK554)</f>
        <v>0</v>
      </c>
      <c r="BN554" s="2018"/>
      <c r="BO554" s="2">
        <v>14</v>
      </c>
      <c r="BP554" s="2" t="str">
        <f>CONCATENATE($U$8," ",GV$8)</f>
        <v xml:space="preserve">Proportion de fenêtres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Proportion de fenêtres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Proportion de fenêtres </v>
      </c>
      <c r="D555" s="1998">
        <f>IF(Construction!$F$31=Construction!$R$22,Oeko!BQ555,Oeko!ED555)</f>
        <v>0</v>
      </c>
      <c r="E555" s="1998">
        <f>IF(Construction!$F$31=Construction!$R$22,Oeko!BR555,Oeko!EE555)</f>
        <v>0</v>
      </c>
      <c r="F555" s="1998">
        <f>IF(Construction!$F$31=Construction!$R$22,Oeko!BS555,Oeko!EF555)</f>
        <v>0</v>
      </c>
      <c r="G555" s="1998">
        <f>IF(Construction!$F$31=Construction!$R$22,Oeko!BT555,Oeko!EG555)</f>
        <v>0</v>
      </c>
      <c r="H555" s="1998">
        <f>IF(Construction!$F$31=Construction!$R$22,Oeko!BU555,Oeko!EH555)</f>
        <v>0</v>
      </c>
      <c r="I555" s="1979">
        <f>IF(Construction!$F$31=Construction!$R$22,Oeko!BV555,Oeko!EI555)</f>
        <v>0</v>
      </c>
      <c r="J555" s="1979">
        <f>IF(Construction!$F$31=Construction!$R$22,Oeko!BW555,Oeko!EJ555)</f>
        <v>0</v>
      </c>
      <c r="K555" s="1979">
        <f>IF(Construction!$F$31=Construction!$R$22,Oeko!BX555,Oeko!EK555)</f>
        <v>0</v>
      </c>
      <c r="L555" s="1979">
        <f>IF(Construction!$F$31=Construction!$R$22,Oeko!BY555,Oeko!EL555)</f>
        <v>0</v>
      </c>
      <c r="M555" s="1979">
        <f>IF(Construction!$F$31=Construction!$R$22,Oeko!BZ555,Oeko!EM555)</f>
        <v>0</v>
      </c>
      <c r="N555" s="1998">
        <f>IF(Construction!$F$31=Construction!$R$22,Oeko!CA555,Oeko!EN555)</f>
        <v>0</v>
      </c>
      <c r="O555" s="1998">
        <f>IF(Construction!$F$31=Construction!$R$22,Oeko!CB555,Oeko!EO555)</f>
        <v>0</v>
      </c>
      <c r="P555" s="1998">
        <f>IF(Construction!$F$31=Construction!$R$22,Oeko!CC555,Oeko!EP555)</f>
        <v>0</v>
      </c>
      <c r="Q555" s="1998">
        <f>IF(Construction!$F$31=Construction!$R$22,Oeko!CD555,Oeko!EQ555)</f>
        <v>0</v>
      </c>
      <c r="R555" s="1998">
        <f>IF(Construction!$F$31=Construction!$R$22,Oeko!CE555,Oeko!ER555)</f>
        <v>0</v>
      </c>
      <c r="S555" s="1979">
        <f>IF(Construction!$F$31=Construction!$R$22,Oeko!CF555,Oeko!ES555)</f>
        <v>0</v>
      </c>
      <c r="T555" s="1979">
        <f>IF(Construction!$F$31=Construction!$R$22,Oeko!CG555,Oeko!ET555)</f>
        <v>0</v>
      </c>
      <c r="U555" s="1979">
        <f>IF(Construction!$F$31=Construction!$R$22,Oeko!CH555,Oeko!EU555)</f>
        <v>0</v>
      </c>
      <c r="V555" s="1979">
        <f>IF(Construction!$F$31=Construction!$R$22,Oeko!CI555,Oeko!EV555)</f>
        <v>0</v>
      </c>
      <c r="W555" s="1979">
        <f>IF(Construction!$F$31=Construction!$R$22,Oeko!CJ555,Oeko!EW555)</f>
        <v>0</v>
      </c>
      <c r="X555" s="1998">
        <f>IF(Construction!$F$31=Construction!$R$22,Oeko!CK555,Oeko!EX555)</f>
        <v>0</v>
      </c>
      <c r="Y555" s="1998">
        <f>IF(Construction!$F$31=Construction!$R$22,Oeko!CL555,Oeko!EY555)</f>
        <v>0</v>
      </c>
      <c r="Z555" s="1998">
        <f>IF(Construction!$F$31=Construction!$R$22,Oeko!CM555,Oeko!EZ555)</f>
        <v>0</v>
      </c>
      <c r="AA555" s="1998">
        <f>IF(Construction!$F$31=Construction!$R$22,Oeko!CN555,Oeko!FA555)</f>
        <v>0</v>
      </c>
      <c r="AB555" s="1998">
        <f>IF(Construction!$F$31=Construction!$R$22,Oeko!CO555,Oeko!FB555)</f>
        <v>0</v>
      </c>
      <c r="AC555" s="1979">
        <f>IF(Construction!$F$31=Construction!$R$22,Oeko!CP555,Oeko!FC555)</f>
        <v>0</v>
      </c>
      <c r="AD555" s="1979">
        <f>IF(Construction!$F$31=Construction!$R$22,Oeko!CQ555,Oeko!FD555)</f>
        <v>0</v>
      </c>
      <c r="AE555" s="1979">
        <f>IF(Construction!$F$31=Construction!$R$22,Oeko!CR555,Oeko!FE555)</f>
        <v>0</v>
      </c>
      <c r="AF555" s="1979">
        <f>IF(Construction!$F$31=Construction!$R$22,Oeko!CS555,Oeko!FF555)</f>
        <v>0</v>
      </c>
      <c r="AG555" s="1979">
        <f>IF(Construction!$F$31=Construction!$R$22,Oeko!CT555,Oeko!FG555)</f>
        <v>0</v>
      </c>
      <c r="AH555" s="1998">
        <f>IF(Construction!$F$31=Construction!$R$22,Oeko!CU555,Oeko!FH555)</f>
        <v>0</v>
      </c>
      <c r="AI555" s="1998">
        <f>IF(Construction!$F$31=Construction!$R$22,Oeko!CV555,Oeko!FI555)</f>
        <v>0</v>
      </c>
      <c r="AJ555" s="1998">
        <f>IF(Construction!$F$31=Construction!$R$22,Oeko!CW555,Oeko!FJ555)</f>
        <v>0</v>
      </c>
      <c r="AK555" s="1998">
        <f>IF(Construction!$F$31=Construction!$R$22,Oeko!CX555,Oeko!FK555)</f>
        <v>0</v>
      </c>
      <c r="AL555" s="1998">
        <f>IF(Construction!$F$31=Construction!$R$22,Oeko!CY555,Oeko!FL555)</f>
        <v>0</v>
      </c>
      <c r="AM555" s="1979">
        <f>IF(Construction!$F$31=Construction!$R$22,Oeko!CZ555,Oeko!FM555)</f>
        <v>0</v>
      </c>
      <c r="AN555" s="1979">
        <f>IF(Construction!$F$31=Construction!$R$22,Oeko!DA555,Oeko!FN555)</f>
        <v>0</v>
      </c>
      <c r="AO555" s="1979">
        <f>IF(Construction!$F$31=Construction!$R$22,Oeko!DB555,Oeko!FO555)</f>
        <v>0</v>
      </c>
      <c r="AP555" s="1979">
        <f>IF(Construction!$F$31=Construction!$R$22,Oeko!DC555,Oeko!FP555)</f>
        <v>0</v>
      </c>
      <c r="AQ555" s="1979">
        <f>IF(Construction!$F$31=Construction!$R$22,Oeko!DD555,Oeko!FQ555)</f>
        <v>0</v>
      </c>
      <c r="AR555" s="1998">
        <f>IF(Construction!$F$31=Construction!$R$22,Oeko!DE555,Oeko!FR555)</f>
        <v>0</v>
      </c>
      <c r="AS555" s="1998">
        <f>IF(Construction!$F$31=Construction!$R$22,Oeko!DF555,Oeko!FS555)</f>
        <v>0</v>
      </c>
      <c r="AT555" s="1998">
        <f>IF(Construction!$F$31=Construction!$R$22,Oeko!DG555,Oeko!FT555)</f>
        <v>0</v>
      </c>
      <c r="AU555" s="1998">
        <f>IF(Construction!$F$31=Construction!$R$22,Oeko!DH555,Oeko!FU555)</f>
        <v>0</v>
      </c>
      <c r="AV555" s="1998">
        <f>IF(Construction!$F$31=Construction!$R$22,Oeko!DI555,Oeko!FV555)</f>
        <v>0</v>
      </c>
      <c r="AW555" s="1979">
        <f>IF(Construction!$F$31=Construction!$R$22,Oeko!DJ555,Oeko!FW555)</f>
        <v>0</v>
      </c>
      <c r="AX555" s="1979">
        <f>IF(Construction!$F$31=Construction!$R$22,Oeko!DK555,Oeko!FX555)</f>
        <v>0</v>
      </c>
      <c r="AY555" s="1979">
        <f>IF(Construction!$F$31=Construction!$R$22,Oeko!DL555,Oeko!FY555)</f>
        <v>0</v>
      </c>
      <c r="AZ555" s="1979">
        <f>IF(Construction!$F$31=Construction!$R$22,Oeko!DM555,Oeko!FZ555)</f>
        <v>0</v>
      </c>
      <c r="BA555" s="1979">
        <f>IF(Construction!$F$31=Construction!$R$22,Oeko!DN555,Oeko!GA555)</f>
        <v>0</v>
      </c>
      <c r="BB555" s="1998">
        <f>IF(Construction!$F$31=Construction!$R$22,Oeko!DO555,Oeko!GB555)</f>
        <v>0</v>
      </c>
      <c r="BC555" s="1998">
        <f>IF(Construction!$F$31=Construction!$R$22,Oeko!DP555,Oeko!GC555)</f>
        <v>0</v>
      </c>
      <c r="BD555" s="1998">
        <f>IF(Construction!$F$31=Construction!$R$22,Oeko!DQ555,Oeko!GD555)</f>
        <v>0</v>
      </c>
      <c r="BE555" s="1998">
        <f>IF(Construction!$F$31=Construction!$R$22,Oeko!DR555,Oeko!GE555)</f>
        <v>0</v>
      </c>
      <c r="BF555" s="1998">
        <f>IF(Construction!$F$31=Construction!$R$22,Oeko!DS555,Oeko!GF555)</f>
        <v>0</v>
      </c>
      <c r="BG555" s="1979">
        <f>IF(Construction!$F$31=Construction!$R$22,Oeko!DT555,Oeko!GG555)</f>
        <v>0</v>
      </c>
      <c r="BH555" s="1979">
        <f>IF(Construction!$F$31=Construction!$R$22,Oeko!DU555,Oeko!GH555)</f>
        <v>0</v>
      </c>
      <c r="BI555" s="1979">
        <f>IF(Construction!$F$31=Construction!$R$22,Oeko!DV555,Oeko!GI555)</f>
        <v>0</v>
      </c>
      <c r="BJ555" s="1979">
        <f>IF(Construction!$F$31=Construction!$R$22,Oeko!DW555,Oeko!GJ555)</f>
        <v>0</v>
      </c>
      <c r="BK555" s="2021">
        <f>IF(Construction!$F$31=Construction!$R$22,Oeko!DX555,Oeko!GK555)</f>
        <v>0</v>
      </c>
      <c r="BN555" s="2018"/>
      <c r="BO555" s="2">
        <v>15</v>
      </c>
      <c r="BP555" s="2" t="str">
        <f>CONCATENATE($U$8," ",GV$9)</f>
        <v xml:space="preserve">Proportion de fenêtres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Proportion de fenêtres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Proportion de fenêtres </v>
      </c>
      <c r="D556" s="1998">
        <f>IF(Construction!$F$31=Construction!$R$22,Oeko!BQ556,Oeko!ED556)</f>
        <v>0</v>
      </c>
      <c r="E556" s="1998">
        <f>IF(Construction!$F$31=Construction!$R$22,Oeko!BR556,Oeko!EE556)</f>
        <v>0</v>
      </c>
      <c r="F556" s="1998">
        <f>IF(Construction!$F$31=Construction!$R$22,Oeko!BS556,Oeko!EF556)</f>
        <v>0</v>
      </c>
      <c r="G556" s="1998">
        <f>IF(Construction!$F$31=Construction!$R$22,Oeko!BT556,Oeko!EG556)</f>
        <v>0</v>
      </c>
      <c r="H556" s="1998">
        <f>IF(Construction!$F$31=Construction!$R$22,Oeko!BU556,Oeko!EH556)</f>
        <v>0</v>
      </c>
      <c r="I556" s="1979">
        <f>IF(Construction!$F$31=Construction!$R$22,Oeko!BV556,Oeko!EI556)</f>
        <v>0</v>
      </c>
      <c r="J556" s="1979">
        <f>IF(Construction!$F$31=Construction!$R$22,Oeko!BW556,Oeko!EJ556)</f>
        <v>0</v>
      </c>
      <c r="K556" s="1979">
        <f>IF(Construction!$F$31=Construction!$R$22,Oeko!BX556,Oeko!EK556)</f>
        <v>0</v>
      </c>
      <c r="L556" s="1979">
        <f>IF(Construction!$F$31=Construction!$R$22,Oeko!BY556,Oeko!EL556)</f>
        <v>0</v>
      </c>
      <c r="M556" s="1979">
        <f>IF(Construction!$F$31=Construction!$R$22,Oeko!BZ556,Oeko!EM556)</f>
        <v>0</v>
      </c>
      <c r="N556" s="1998">
        <f>IF(Construction!$F$31=Construction!$R$22,Oeko!CA556,Oeko!EN556)</f>
        <v>0</v>
      </c>
      <c r="O556" s="1998">
        <f>IF(Construction!$F$31=Construction!$R$22,Oeko!CB556,Oeko!EO556)</f>
        <v>0</v>
      </c>
      <c r="P556" s="1998">
        <f>IF(Construction!$F$31=Construction!$R$22,Oeko!CC556,Oeko!EP556)</f>
        <v>0</v>
      </c>
      <c r="Q556" s="1998">
        <f>IF(Construction!$F$31=Construction!$R$22,Oeko!CD556,Oeko!EQ556)</f>
        <v>0</v>
      </c>
      <c r="R556" s="1998">
        <f>IF(Construction!$F$31=Construction!$R$22,Oeko!CE556,Oeko!ER556)</f>
        <v>0</v>
      </c>
      <c r="S556" s="1979">
        <f>IF(Construction!$F$31=Construction!$R$22,Oeko!CF556,Oeko!ES556)</f>
        <v>1</v>
      </c>
      <c r="T556" s="1979">
        <f>IF(Construction!$F$31=Construction!$R$22,Oeko!CG556,Oeko!ET556)</f>
        <v>1</v>
      </c>
      <c r="U556" s="1979">
        <f>IF(Construction!$F$31=Construction!$R$22,Oeko!CH556,Oeko!EU556)</f>
        <v>1</v>
      </c>
      <c r="V556" s="1979">
        <f>IF(Construction!$F$31=Construction!$R$22,Oeko!CI556,Oeko!EV556)</f>
        <v>1</v>
      </c>
      <c r="W556" s="1979">
        <f>IF(Construction!$F$31=Construction!$R$22,Oeko!CJ556,Oeko!EW556)</f>
        <v>1</v>
      </c>
      <c r="X556" s="1998">
        <f>IF(Construction!$F$31=Construction!$R$22,Oeko!CK556,Oeko!EX556)</f>
        <v>0</v>
      </c>
      <c r="Y556" s="1998">
        <f>IF(Construction!$F$31=Construction!$R$22,Oeko!CL556,Oeko!EY556)</f>
        <v>0</v>
      </c>
      <c r="Z556" s="1998">
        <f>IF(Construction!$F$31=Construction!$R$22,Oeko!CM556,Oeko!EZ556)</f>
        <v>0</v>
      </c>
      <c r="AA556" s="1998">
        <f>IF(Construction!$F$31=Construction!$R$22,Oeko!CN556,Oeko!FA556)</f>
        <v>0</v>
      </c>
      <c r="AB556" s="1998">
        <f>IF(Construction!$F$31=Construction!$R$22,Oeko!CO556,Oeko!FB556)</f>
        <v>0</v>
      </c>
      <c r="AC556" s="1979">
        <f>IF(Construction!$F$31=Construction!$R$22,Oeko!CP556,Oeko!FC556)</f>
        <v>0</v>
      </c>
      <c r="AD556" s="1979">
        <f>IF(Construction!$F$31=Construction!$R$22,Oeko!CQ556,Oeko!FD556)</f>
        <v>0</v>
      </c>
      <c r="AE556" s="1979">
        <f>IF(Construction!$F$31=Construction!$R$22,Oeko!CR556,Oeko!FE556)</f>
        <v>0</v>
      </c>
      <c r="AF556" s="1979">
        <f>IF(Construction!$F$31=Construction!$R$22,Oeko!CS556,Oeko!FF556)</f>
        <v>0</v>
      </c>
      <c r="AG556" s="1979">
        <f>IF(Construction!$F$31=Construction!$R$22,Oeko!CT556,Oeko!FG556)</f>
        <v>0</v>
      </c>
      <c r="AH556" s="1998">
        <f>IF(Construction!$F$31=Construction!$R$22,Oeko!CU556,Oeko!FH556)</f>
        <v>0</v>
      </c>
      <c r="AI556" s="1998">
        <f>IF(Construction!$F$31=Construction!$R$22,Oeko!CV556,Oeko!FI556)</f>
        <v>0</v>
      </c>
      <c r="AJ556" s="1998">
        <f>IF(Construction!$F$31=Construction!$R$22,Oeko!CW556,Oeko!FJ556)</f>
        <v>0</v>
      </c>
      <c r="AK556" s="1998">
        <f>IF(Construction!$F$31=Construction!$R$22,Oeko!CX556,Oeko!FK556)</f>
        <v>0</v>
      </c>
      <c r="AL556" s="1998">
        <f>IF(Construction!$F$31=Construction!$R$22,Oeko!CY556,Oeko!FL556)</f>
        <v>0</v>
      </c>
      <c r="AM556" s="1979">
        <f>IF(Construction!$F$31=Construction!$R$22,Oeko!CZ556,Oeko!FM556)</f>
        <v>0</v>
      </c>
      <c r="AN556" s="1979">
        <f>IF(Construction!$F$31=Construction!$R$22,Oeko!DA556,Oeko!FN556)</f>
        <v>0</v>
      </c>
      <c r="AO556" s="1979">
        <f>IF(Construction!$F$31=Construction!$R$22,Oeko!DB556,Oeko!FO556)</f>
        <v>0</v>
      </c>
      <c r="AP556" s="1979">
        <f>IF(Construction!$F$31=Construction!$R$22,Oeko!DC556,Oeko!FP556)</f>
        <v>0</v>
      </c>
      <c r="AQ556" s="1979">
        <f>IF(Construction!$F$31=Construction!$R$22,Oeko!DD556,Oeko!FQ556)</f>
        <v>0</v>
      </c>
      <c r="AR556" s="1998">
        <f>IF(Construction!$F$31=Construction!$R$22,Oeko!DE556,Oeko!FR556)</f>
        <v>0</v>
      </c>
      <c r="AS556" s="1998">
        <f>IF(Construction!$F$31=Construction!$R$22,Oeko!DF556,Oeko!FS556)</f>
        <v>0</v>
      </c>
      <c r="AT556" s="1998">
        <f>IF(Construction!$F$31=Construction!$R$22,Oeko!DG556,Oeko!FT556)</f>
        <v>0</v>
      </c>
      <c r="AU556" s="1998">
        <f>IF(Construction!$F$31=Construction!$R$22,Oeko!DH556,Oeko!FU556)</f>
        <v>0</v>
      </c>
      <c r="AV556" s="1998">
        <f>IF(Construction!$F$31=Construction!$R$22,Oeko!DI556,Oeko!FV556)</f>
        <v>0</v>
      </c>
      <c r="AW556" s="1979">
        <f>IF(Construction!$F$31=Construction!$R$22,Oeko!DJ556,Oeko!FW556)</f>
        <v>0</v>
      </c>
      <c r="AX556" s="1979">
        <f>IF(Construction!$F$31=Construction!$R$22,Oeko!DK556,Oeko!FX556)</f>
        <v>0</v>
      </c>
      <c r="AY556" s="1979">
        <f>IF(Construction!$F$31=Construction!$R$22,Oeko!DL556,Oeko!FY556)</f>
        <v>0</v>
      </c>
      <c r="AZ556" s="1979">
        <f>IF(Construction!$F$31=Construction!$R$22,Oeko!DM556,Oeko!FZ556)</f>
        <v>0</v>
      </c>
      <c r="BA556" s="1979">
        <f>IF(Construction!$F$31=Construction!$R$22,Oeko!DN556,Oeko!GA556)</f>
        <v>0</v>
      </c>
      <c r="BB556" s="1998">
        <f>IF(Construction!$F$31=Construction!$R$22,Oeko!DO556,Oeko!GB556)</f>
        <v>0</v>
      </c>
      <c r="BC556" s="1998">
        <f>IF(Construction!$F$31=Construction!$R$22,Oeko!DP556,Oeko!GC556)</f>
        <v>0</v>
      </c>
      <c r="BD556" s="1998">
        <f>IF(Construction!$F$31=Construction!$R$22,Oeko!DQ556,Oeko!GD556)</f>
        <v>0</v>
      </c>
      <c r="BE556" s="1998">
        <f>IF(Construction!$F$31=Construction!$R$22,Oeko!DR556,Oeko!GE556)</f>
        <v>0</v>
      </c>
      <c r="BF556" s="1998">
        <f>IF(Construction!$F$31=Construction!$R$22,Oeko!DS556,Oeko!GF556)</f>
        <v>0</v>
      </c>
      <c r="BG556" s="1979">
        <f>IF(Construction!$F$31=Construction!$R$22,Oeko!DT556,Oeko!GG556)</f>
        <v>0</v>
      </c>
      <c r="BH556" s="1979">
        <f>IF(Construction!$F$31=Construction!$R$22,Oeko!DU556,Oeko!GH556)</f>
        <v>0</v>
      </c>
      <c r="BI556" s="1979">
        <f>IF(Construction!$F$31=Construction!$R$22,Oeko!DV556,Oeko!GI556)</f>
        <v>0</v>
      </c>
      <c r="BJ556" s="1979">
        <f>IF(Construction!$F$31=Construction!$R$22,Oeko!DW556,Oeko!GJ556)</f>
        <v>0</v>
      </c>
      <c r="BK556" s="2021">
        <f>IF(Construction!$F$31=Construction!$R$22,Oeko!DX556,Oeko!GK556)</f>
        <v>0</v>
      </c>
      <c r="BN556" s="2018"/>
      <c r="BO556" s="2">
        <v>16</v>
      </c>
      <c r="BP556" s="2" t="str">
        <f>CONCATENATE($U$8," ",GV$10)</f>
        <v xml:space="preserve">Proportion de fenêtres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Proportion de fenêtres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Proportion de fenêtres </v>
      </c>
      <c r="D557" s="1998">
        <f>IF(Construction!$F$31=Construction!$R$22,Oeko!BQ557,Oeko!ED557)</f>
        <v>0</v>
      </c>
      <c r="E557" s="1998">
        <f>IF(Construction!$F$31=Construction!$R$22,Oeko!BR557,Oeko!EE557)</f>
        <v>0</v>
      </c>
      <c r="F557" s="1998">
        <f>IF(Construction!$F$31=Construction!$R$22,Oeko!BS557,Oeko!EF557)</f>
        <v>0</v>
      </c>
      <c r="G557" s="1998">
        <f>IF(Construction!$F$31=Construction!$R$22,Oeko!BT557,Oeko!EG557)</f>
        <v>0</v>
      </c>
      <c r="H557" s="1998">
        <f>IF(Construction!$F$31=Construction!$R$22,Oeko!BU557,Oeko!EH557)</f>
        <v>0</v>
      </c>
      <c r="I557" s="1979">
        <f>IF(Construction!$F$31=Construction!$R$22,Oeko!BV557,Oeko!EI557)</f>
        <v>0</v>
      </c>
      <c r="J557" s="1979">
        <f>IF(Construction!$F$31=Construction!$R$22,Oeko!BW557,Oeko!EJ557)</f>
        <v>0</v>
      </c>
      <c r="K557" s="1979">
        <f>IF(Construction!$F$31=Construction!$R$22,Oeko!BX557,Oeko!EK557)</f>
        <v>0</v>
      </c>
      <c r="L557" s="1979">
        <f>IF(Construction!$F$31=Construction!$R$22,Oeko!BY557,Oeko!EL557)</f>
        <v>0</v>
      </c>
      <c r="M557" s="1979">
        <f>IF(Construction!$F$31=Construction!$R$22,Oeko!BZ557,Oeko!EM557)</f>
        <v>0</v>
      </c>
      <c r="N557" s="1998">
        <f>IF(Construction!$F$31=Construction!$R$22,Oeko!CA557,Oeko!EN557)</f>
        <v>0</v>
      </c>
      <c r="O557" s="1998">
        <f>IF(Construction!$F$31=Construction!$R$22,Oeko!CB557,Oeko!EO557)</f>
        <v>0</v>
      </c>
      <c r="P557" s="1998">
        <f>IF(Construction!$F$31=Construction!$R$22,Oeko!CC557,Oeko!EP557)</f>
        <v>0</v>
      </c>
      <c r="Q557" s="1998">
        <f>IF(Construction!$F$31=Construction!$R$22,Oeko!CD557,Oeko!EQ557)</f>
        <v>0</v>
      </c>
      <c r="R557" s="1998">
        <f>IF(Construction!$F$31=Construction!$R$22,Oeko!CE557,Oeko!ER557)</f>
        <v>0</v>
      </c>
      <c r="S557" s="1979">
        <f>IF(Construction!$F$31=Construction!$R$22,Oeko!CF557,Oeko!ES557)</f>
        <v>1</v>
      </c>
      <c r="T557" s="1979">
        <f>IF(Construction!$F$31=Construction!$R$22,Oeko!CG557,Oeko!ET557)</f>
        <v>1</v>
      </c>
      <c r="U557" s="1979">
        <f>IF(Construction!$F$31=Construction!$R$22,Oeko!CH557,Oeko!EU557)</f>
        <v>1</v>
      </c>
      <c r="V557" s="1979">
        <f>IF(Construction!$F$31=Construction!$R$22,Oeko!CI557,Oeko!EV557)</f>
        <v>1</v>
      </c>
      <c r="W557" s="1979">
        <f>IF(Construction!$F$31=Construction!$R$22,Oeko!CJ557,Oeko!EW557)</f>
        <v>1</v>
      </c>
      <c r="X557" s="1998">
        <f>IF(Construction!$F$31=Construction!$R$22,Oeko!CK557,Oeko!EX557)</f>
        <v>0</v>
      </c>
      <c r="Y557" s="1998">
        <f>IF(Construction!$F$31=Construction!$R$22,Oeko!CL557,Oeko!EY557)</f>
        <v>0</v>
      </c>
      <c r="Z557" s="1998">
        <f>IF(Construction!$F$31=Construction!$R$22,Oeko!CM557,Oeko!EZ557)</f>
        <v>0</v>
      </c>
      <c r="AA557" s="1998">
        <f>IF(Construction!$F$31=Construction!$R$22,Oeko!CN557,Oeko!FA557)</f>
        <v>0</v>
      </c>
      <c r="AB557" s="1998">
        <f>IF(Construction!$F$31=Construction!$R$22,Oeko!CO557,Oeko!FB557)</f>
        <v>0</v>
      </c>
      <c r="AC557" s="1979">
        <f>IF(Construction!$F$31=Construction!$R$22,Oeko!CP557,Oeko!FC557)</f>
        <v>0</v>
      </c>
      <c r="AD557" s="1979">
        <f>IF(Construction!$F$31=Construction!$R$22,Oeko!CQ557,Oeko!FD557)</f>
        <v>0</v>
      </c>
      <c r="AE557" s="1979">
        <f>IF(Construction!$F$31=Construction!$R$22,Oeko!CR557,Oeko!FE557)</f>
        <v>0</v>
      </c>
      <c r="AF557" s="1979">
        <f>IF(Construction!$F$31=Construction!$R$22,Oeko!CS557,Oeko!FF557)</f>
        <v>0</v>
      </c>
      <c r="AG557" s="1979">
        <f>IF(Construction!$F$31=Construction!$R$22,Oeko!CT557,Oeko!FG557)</f>
        <v>0</v>
      </c>
      <c r="AH557" s="1998">
        <f>IF(Construction!$F$31=Construction!$R$22,Oeko!CU557,Oeko!FH557)</f>
        <v>0</v>
      </c>
      <c r="AI557" s="1998">
        <f>IF(Construction!$F$31=Construction!$R$22,Oeko!CV557,Oeko!FI557)</f>
        <v>0</v>
      </c>
      <c r="AJ557" s="1998">
        <f>IF(Construction!$F$31=Construction!$R$22,Oeko!CW557,Oeko!FJ557)</f>
        <v>0</v>
      </c>
      <c r="AK557" s="1998">
        <f>IF(Construction!$F$31=Construction!$R$22,Oeko!CX557,Oeko!FK557)</f>
        <v>0</v>
      </c>
      <c r="AL557" s="1998">
        <f>IF(Construction!$F$31=Construction!$R$22,Oeko!CY557,Oeko!FL557)</f>
        <v>0</v>
      </c>
      <c r="AM557" s="1979">
        <f>IF(Construction!$F$31=Construction!$R$22,Oeko!CZ557,Oeko!FM557)</f>
        <v>0</v>
      </c>
      <c r="AN557" s="1979">
        <f>IF(Construction!$F$31=Construction!$R$22,Oeko!DA557,Oeko!FN557)</f>
        <v>0</v>
      </c>
      <c r="AO557" s="1979">
        <f>IF(Construction!$F$31=Construction!$R$22,Oeko!DB557,Oeko!FO557)</f>
        <v>0</v>
      </c>
      <c r="AP557" s="1979">
        <f>IF(Construction!$F$31=Construction!$R$22,Oeko!DC557,Oeko!FP557)</f>
        <v>0</v>
      </c>
      <c r="AQ557" s="1979">
        <f>IF(Construction!$F$31=Construction!$R$22,Oeko!DD557,Oeko!FQ557)</f>
        <v>0</v>
      </c>
      <c r="AR557" s="1998">
        <f>IF(Construction!$F$31=Construction!$R$22,Oeko!DE557,Oeko!FR557)</f>
        <v>0</v>
      </c>
      <c r="AS557" s="1998">
        <f>IF(Construction!$F$31=Construction!$R$22,Oeko!DF557,Oeko!FS557)</f>
        <v>0</v>
      </c>
      <c r="AT557" s="1998">
        <f>IF(Construction!$F$31=Construction!$R$22,Oeko!DG557,Oeko!FT557)</f>
        <v>0</v>
      </c>
      <c r="AU557" s="1998">
        <f>IF(Construction!$F$31=Construction!$R$22,Oeko!DH557,Oeko!FU557)</f>
        <v>0</v>
      </c>
      <c r="AV557" s="1998">
        <f>IF(Construction!$F$31=Construction!$R$22,Oeko!DI557,Oeko!FV557)</f>
        <v>0</v>
      </c>
      <c r="AW557" s="1979">
        <f>IF(Construction!$F$31=Construction!$R$22,Oeko!DJ557,Oeko!FW557)</f>
        <v>0</v>
      </c>
      <c r="AX557" s="1979">
        <f>IF(Construction!$F$31=Construction!$R$22,Oeko!DK557,Oeko!FX557)</f>
        <v>0</v>
      </c>
      <c r="AY557" s="1979">
        <f>IF(Construction!$F$31=Construction!$R$22,Oeko!DL557,Oeko!FY557)</f>
        <v>0</v>
      </c>
      <c r="AZ557" s="1979">
        <f>IF(Construction!$F$31=Construction!$R$22,Oeko!DM557,Oeko!FZ557)</f>
        <v>0</v>
      </c>
      <c r="BA557" s="1979">
        <f>IF(Construction!$F$31=Construction!$R$22,Oeko!DN557,Oeko!GA557)</f>
        <v>0</v>
      </c>
      <c r="BB557" s="1998">
        <f>IF(Construction!$F$31=Construction!$R$22,Oeko!DO557,Oeko!GB557)</f>
        <v>0</v>
      </c>
      <c r="BC557" s="1998">
        <f>IF(Construction!$F$31=Construction!$R$22,Oeko!DP557,Oeko!GC557)</f>
        <v>0</v>
      </c>
      <c r="BD557" s="1998">
        <f>IF(Construction!$F$31=Construction!$R$22,Oeko!DQ557,Oeko!GD557)</f>
        <v>0</v>
      </c>
      <c r="BE557" s="1998">
        <f>IF(Construction!$F$31=Construction!$R$22,Oeko!DR557,Oeko!GE557)</f>
        <v>0</v>
      </c>
      <c r="BF557" s="1998">
        <f>IF(Construction!$F$31=Construction!$R$22,Oeko!DS557,Oeko!GF557)</f>
        <v>0</v>
      </c>
      <c r="BG557" s="1979">
        <f>IF(Construction!$F$31=Construction!$R$22,Oeko!DT557,Oeko!GG557)</f>
        <v>0</v>
      </c>
      <c r="BH557" s="1979">
        <f>IF(Construction!$F$31=Construction!$R$22,Oeko!DU557,Oeko!GH557)</f>
        <v>0</v>
      </c>
      <c r="BI557" s="1979">
        <f>IF(Construction!$F$31=Construction!$R$22,Oeko!DV557,Oeko!GI557)</f>
        <v>0</v>
      </c>
      <c r="BJ557" s="1979">
        <f>IF(Construction!$F$31=Construction!$R$22,Oeko!DW557,Oeko!GJ557)</f>
        <v>0</v>
      </c>
      <c r="BK557" s="2021">
        <f>IF(Construction!$F$31=Construction!$R$22,Oeko!DX557,Oeko!GK557)</f>
        <v>0</v>
      </c>
      <c r="BN557" s="2018"/>
      <c r="BO557" s="2">
        <v>17</v>
      </c>
      <c r="BP557" s="2" t="str">
        <f>CONCATENATE($U$8," ",GV$11)</f>
        <v xml:space="preserve">Proportion de fenêtres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Proportion de fenêtres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Proportion de fenêtres </v>
      </c>
      <c r="D558" s="1998">
        <f>IF(Construction!$F$31=Construction!$R$22,Oeko!BQ558,Oeko!ED558)</f>
        <v>0</v>
      </c>
      <c r="E558" s="1998">
        <f>IF(Construction!$F$31=Construction!$R$22,Oeko!BR558,Oeko!EE558)</f>
        <v>0</v>
      </c>
      <c r="F558" s="1998">
        <f>IF(Construction!$F$31=Construction!$R$22,Oeko!BS558,Oeko!EF558)</f>
        <v>0</v>
      </c>
      <c r="G558" s="1998">
        <f>IF(Construction!$F$31=Construction!$R$22,Oeko!BT558,Oeko!EG558)</f>
        <v>0</v>
      </c>
      <c r="H558" s="1998">
        <f>IF(Construction!$F$31=Construction!$R$22,Oeko!BU558,Oeko!EH558)</f>
        <v>0</v>
      </c>
      <c r="I558" s="1979">
        <f>IF(Construction!$F$31=Construction!$R$22,Oeko!BV558,Oeko!EI558)</f>
        <v>0</v>
      </c>
      <c r="J558" s="1979">
        <f>IF(Construction!$F$31=Construction!$R$22,Oeko!BW558,Oeko!EJ558)</f>
        <v>0</v>
      </c>
      <c r="K558" s="1979">
        <f>IF(Construction!$F$31=Construction!$R$22,Oeko!BX558,Oeko!EK558)</f>
        <v>0</v>
      </c>
      <c r="L558" s="1979">
        <f>IF(Construction!$F$31=Construction!$R$22,Oeko!BY558,Oeko!EL558)</f>
        <v>0</v>
      </c>
      <c r="M558" s="1979">
        <f>IF(Construction!$F$31=Construction!$R$22,Oeko!BZ558,Oeko!EM558)</f>
        <v>0</v>
      </c>
      <c r="N558" s="1998">
        <f>IF(Construction!$F$31=Construction!$R$22,Oeko!CA558,Oeko!EN558)</f>
        <v>0</v>
      </c>
      <c r="O558" s="1998">
        <f>IF(Construction!$F$31=Construction!$R$22,Oeko!CB558,Oeko!EO558)</f>
        <v>0</v>
      </c>
      <c r="P558" s="1998">
        <f>IF(Construction!$F$31=Construction!$R$22,Oeko!CC558,Oeko!EP558)</f>
        <v>0</v>
      </c>
      <c r="Q558" s="1998">
        <f>IF(Construction!$F$31=Construction!$R$22,Oeko!CD558,Oeko!EQ558)</f>
        <v>0</v>
      </c>
      <c r="R558" s="1998">
        <f>IF(Construction!$F$31=Construction!$R$22,Oeko!CE558,Oeko!ER558)</f>
        <v>0</v>
      </c>
      <c r="S558" s="1979">
        <f>IF(Construction!$F$31=Construction!$R$22,Oeko!CF558,Oeko!ES558)</f>
        <v>1</v>
      </c>
      <c r="T558" s="1979">
        <f>IF(Construction!$F$31=Construction!$R$22,Oeko!CG558,Oeko!ET558)</f>
        <v>1</v>
      </c>
      <c r="U558" s="1979">
        <f>IF(Construction!$F$31=Construction!$R$22,Oeko!CH558,Oeko!EU558)</f>
        <v>1</v>
      </c>
      <c r="V558" s="1979">
        <f>IF(Construction!$F$31=Construction!$R$22,Oeko!CI558,Oeko!EV558)</f>
        <v>1</v>
      </c>
      <c r="W558" s="1979">
        <f>IF(Construction!$F$31=Construction!$R$22,Oeko!CJ558,Oeko!EW558)</f>
        <v>1</v>
      </c>
      <c r="X558" s="1998">
        <f>IF(Construction!$F$31=Construction!$R$22,Oeko!CK558,Oeko!EX558)</f>
        <v>0</v>
      </c>
      <c r="Y558" s="1998">
        <f>IF(Construction!$F$31=Construction!$R$22,Oeko!CL558,Oeko!EY558)</f>
        <v>0</v>
      </c>
      <c r="Z558" s="1998">
        <f>IF(Construction!$F$31=Construction!$R$22,Oeko!CM558,Oeko!EZ558)</f>
        <v>0</v>
      </c>
      <c r="AA558" s="1998">
        <f>IF(Construction!$F$31=Construction!$R$22,Oeko!CN558,Oeko!FA558)</f>
        <v>0</v>
      </c>
      <c r="AB558" s="1998">
        <f>IF(Construction!$F$31=Construction!$R$22,Oeko!CO558,Oeko!FB558)</f>
        <v>0</v>
      </c>
      <c r="AC558" s="1979">
        <f>IF(Construction!$F$31=Construction!$R$22,Oeko!CP558,Oeko!FC558)</f>
        <v>0</v>
      </c>
      <c r="AD558" s="1979">
        <f>IF(Construction!$F$31=Construction!$R$22,Oeko!CQ558,Oeko!FD558)</f>
        <v>0</v>
      </c>
      <c r="AE558" s="1979">
        <f>IF(Construction!$F$31=Construction!$R$22,Oeko!CR558,Oeko!FE558)</f>
        <v>0</v>
      </c>
      <c r="AF558" s="1979">
        <f>IF(Construction!$F$31=Construction!$R$22,Oeko!CS558,Oeko!FF558)</f>
        <v>0</v>
      </c>
      <c r="AG558" s="1979">
        <f>IF(Construction!$F$31=Construction!$R$22,Oeko!CT558,Oeko!FG558)</f>
        <v>0</v>
      </c>
      <c r="AH558" s="1998">
        <f>IF(Construction!$F$31=Construction!$R$22,Oeko!CU558,Oeko!FH558)</f>
        <v>0</v>
      </c>
      <c r="AI558" s="1998">
        <f>IF(Construction!$F$31=Construction!$R$22,Oeko!CV558,Oeko!FI558)</f>
        <v>0</v>
      </c>
      <c r="AJ558" s="1998">
        <f>IF(Construction!$F$31=Construction!$R$22,Oeko!CW558,Oeko!FJ558)</f>
        <v>0</v>
      </c>
      <c r="AK558" s="1998">
        <f>IF(Construction!$F$31=Construction!$R$22,Oeko!CX558,Oeko!FK558)</f>
        <v>0</v>
      </c>
      <c r="AL558" s="1998">
        <f>IF(Construction!$F$31=Construction!$R$22,Oeko!CY558,Oeko!FL558)</f>
        <v>0</v>
      </c>
      <c r="AM558" s="1979">
        <f>IF(Construction!$F$31=Construction!$R$22,Oeko!CZ558,Oeko!FM558)</f>
        <v>0</v>
      </c>
      <c r="AN558" s="1979">
        <f>IF(Construction!$F$31=Construction!$R$22,Oeko!DA558,Oeko!FN558)</f>
        <v>0</v>
      </c>
      <c r="AO558" s="1979">
        <f>IF(Construction!$F$31=Construction!$R$22,Oeko!DB558,Oeko!FO558)</f>
        <v>0</v>
      </c>
      <c r="AP558" s="1979">
        <f>IF(Construction!$F$31=Construction!$R$22,Oeko!DC558,Oeko!FP558)</f>
        <v>0</v>
      </c>
      <c r="AQ558" s="1979">
        <f>IF(Construction!$F$31=Construction!$R$22,Oeko!DD558,Oeko!FQ558)</f>
        <v>0</v>
      </c>
      <c r="AR558" s="1998">
        <f>IF(Construction!$F$31=Construction!$R$22,Oeko!DE558,Oeko!FR558)</f>
        <v>0</v>
      </c>
      <c r="AS558" s="1998">
        <f>IF(Construction!$F$31=Construction!$R$22,Oeko!DF558,Oeko!FS558)</f>
        <v>0</v>
      </c>
      <c r="AT558" s="1998">
        <f>IF(Construction!$F$31=Construction!$R$22,Oeko!DG558,Oeko!FT558)</f>
        <v>0</v>
      </c>
      <c r="AU558" s="1998">
        <f>IF(Construction!$F$31=Construction!$R$22,Oeko!DH558,Oeko!FU558)</f>
        <v>0</v>
      </c>
      <c r="AV558" s="1998">
        <f>IF(Construction!$F$31=Construction!$R$22,Oeko!DI558,Oeko!FV558)</f>
        <v>0</v>
      </c>
      <c r="AW558" s="1979">
        <f>IF(Construction!$F$31=Construction!$R$22,Oeko!DJ558,Oeko!FW558)</f>
        <v>0</v>
      </c>
      <c r="AX558" s="1979">
        <f>IF(Construction!$F$31=Construction!$R$22,Oeko!DK558,Oeko!FX558)</f>
        <v>0</v>
      </c>
      <c r="AY558" s="1979">
        <f>IF(Construction!$F$31=Construction!$R$22,Oeko!DL558,Oeko!FY558)</f>
        <v>0</v>
      </c>
      <c r="AZ558" s="1979">
        <f>IF(Construction!$F$31=Construction!$R$22,Oeko!DM558,Oeko!FZ558)</f>
        <v>0</v>
      </c>
      <c r="BA558" s="1979">
        <f>IF(Construction!$F$31=Construction!$R$22,Oeko!DN558,Oeko!GA558)</f>
        <v>0</v>
      </c>
      <c r="BB558" s="1998">
        <f>IF(Construction!$F$31=Construction!$R$22,Oeko!DO558,Oeko!GB558)</f>
        <v>0</v>
      </c>
      <c r="BC558" s="1998">
        <f>IF(Construction!$F$31=Construction!$R$22,Oeko!DP558,Oeko!GC558)</f>
        <v>0</v>
      </c>
      <c r="BD558" s="1998">
        <f>IF(Construction!$F$31=Construction!$R$22,Oeko!DQ558,Oeko!GD558)</f>
        <v>0</v>
      </c>
      <c r="BE558" s="1998">
        <f>IF(Construction!$F$31=Construction!$R$22,Oeko!DR558,Oeko!GE558)</f>
        <v>0</v>
      </c>
      <c r="BF558" s="1998">
        <f>IF(Construction!$F$31=Construction!$R$22,Oeko!DS558,Oeko!GF558)</f>
        <v>0</v>
      </c>
      <c r="BG558" s="1979">
        <f>IF(Construction!$F$31=Construction!$R$22,Oeko!DT558,Oeko!GG558)</f>
        <v>0</v>
      </c>
      <c r="BH558" s="1979">
        <f>IF(Construction!$F$31=Construction!$R$22,Oeko!DU558,Oeko!GH558)</f>
        <v>0</v>
      </c>
      <c r="BI558" s="1979">
        <f>IF(Construction!$F$31=Construction!$R$22,Oeko!DV558,Oeko!GI558)</f>
        <v>0</v>
      </c>
      <c r="BJ558" s="1979">
        <f>IF(Construction!$F$31=Construction!$R$22,Oeko!DW558,Oeko!GJ558)</f>
        <v>0</v>
      </c>
      <c r="BK558" s="2021">
        <f>IF(Construction!$F$31=Construction!$R$22,Oeko!DX558,Oeko!GK558)</f>
        <v>0</v>
      </c>
      <c r="BN558" s="2018"/>
      <c r="BO558" s="2">
        <v>18</v>
      </c>
      <c r="BP558" s="2" t="str">
        <f>CONCATENATE($U$8," ",GV$12)</f>
        <v xml:space="preserve">Proportion de fenêtres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Proportion de fenêtres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Proportion de fenêtres </v>
      </c>
      <c r="D559" s="1998">
        <f>IF(Construction!$F$31=Construction!$R$22,Oeko!BQ559,Oeko!ED559)</f>
        <v>0</v>
      </c>
      <c r="E559" s="1998">
        <f>IF(Construction!$F$31=Construction!$R$22,Oeko!BR559,Oeko!EE559)</f>
        <v>0</v>
      </c>
      <c r="F559" s="1998">
        <f>IF(Construction!$F$31=Construction!$R$22,Oeko!BS559,Oeko!EF559)</f>
        <v>0</v>
      </c>
      <c r="G559" s="1998">
        <f>IF(Construction!$F$31=Construction!$R$22,Oeko!BT559,Oeko!EG559)</f>
        <v>0</v>
      </c>
      <c r="H559" s="1998">
        <f>IF(Construction!$F$31=Construction!$R$22,Oeko!BU559,Oeko!EH559)</f>
        <v>0</v>
      </c>
      <c r="I559" s="1979">
        <f>IF(Construction!$F$31=Construction!$R$22,Oeko!BV559,Oeko!EI559)</f>
        <v>0</v>
      </c>
      <c r="J559" s="1979">
        <f>IF(Construction!$F$31=Construction!$R$22,Oeko!BW559,Oeko!EJ559)</f>
        <v>0</v>
      </c>
      <c r="K559" s="1979">
        <f>IF(Construction!$F$31=Construction!$R$22,Oeko!BX559,Oeko!EK559)</f>
        <v>0</v>
      </c>
      <c r="L559" s="1979">
        <f>IF(Construction!$F$31=Construction!$R$22,Oeko!BY559,Oeko!EL559)</f>
        <v>0</v>
      </c>
      <c r="M559" s="1979">
        <f>IF(Construction!$F$31=Construction!$R$22,Oeko!BZ559,Oeko!EM559)</f>
        <v>0</v>
      </c>
      <c r="N559" s="1998">
        <f>IF(Construction!$F$31=Construction!$R$22,Oeko!CA559,Oeko!EN559)</f>
        <v>0</v>
      </c>
      <c r="O559" s="1998">
        <f>IF(Construction!$F$31=Construction!$R$22,Oeko!CB559,Oeko!EO559)</f>
        <v>0</v>
      </c>
      <c r="P559" s="1998">
        <f>IF(Construction!$F$31=Construction!$R$22,Oeko!CC559,Oeko!EP559)</f>
        <v>0</v>
      </c>
      <c r="Q559" s="1998">
        <f>IF(Construction!$F$31=Construction!$R$22,Oeko!CD559,Oeko!EQ559)</f>
        <v>0</v>
      </c>
      <c r="R559" s="1998">
        <f>IF(Construction!$F$31=Construction!$R$22,Oeko!CE559,Oeko!ER559)</f>
        <v>0</v>
      </c>
      <c r="S559" s="1979">
        <f>IF(Construction!$F$31=Construction!$R$22,Oeko!CF559,Oeko!ES559)</f>
        <v>1</v>
      </c>
      <c r="T559" s="1979">
        <f>IF(Construction!$F$31=Construction!$R$22,Oeko!CG559,Oeko!ET559)</f>
        <v>1</v>
      </c>
      <c r="U559" s="1979">
        <f>IF(Construction!$F$31=Construction!$R$22,Oeko!CH559,Oeko!EU559)</f>
        <v>1</v>
      </c>
      <c r="V559" s="1979">
        <f>IF(Construction!$F$31=Construction!$R$22,Oeko!CI559,Oeko!EV559)</f>
        <v>1</v>
      </c>
      <c r="W559" s="1979">
        <f>IF(Construction!$F$31=Construction!$R$22,Oeko!CJ559,Oeko!EW559)</f>
        <v>1</v>
      </c>
      <c r="X559" s="1998">
        <f>IF(Construction!$F$31=Construction!$R$22,Oeko!CK559,Oeko!EX559)</f>
        <v>0</v>
      </c>
      <c r="Y559" s="1998">
        <f>IF(Construction!$F$31=Construction!$R$22,Oeko!CL559,Oeko!EY559)</f>
        <v>0</v>
      </c>
      <c r="Z559" s="1998">
        <f>IF(Construction!$F$31=Construction!$R$22,Oeko!CM559,Oeko!EZ559)</f>
        <v>0</v>
      </c>
      <c r="AA559" s="1998">
        <f>IF(Construction!$F$31=Construction!$R$22,Oeko!CN559,Oeko!FA559)</f>
        <v>0</v>
      </c>
      <c r="AB559" s="1998">
        <f>IF(Construction!$F$31=Construction!$R$22,Oeko!CO559,Oeko!FB559)</f>
        <v>0</v>
      </c>
      <c r="AC559" s="1979">
        <f>IF(Construction!$F$31=Construction!$R$22,Oeko!CP559,Oeko!FC559)</f>
        <v>0</v>
      </c>
      <c r="AD559" s="1979">
        <f>IF(Construction!$F$31=Construction!$R$22,Oeko!CQ559,Oeko!FD559)</f>
        <v>0</v>
      </c>
      <c r="AE559" s="1979">
        <f>IF(Construction!$F$31=Construction!$R$22,Oeko!CR559,Oeko!FE559)</f>
        <v>0</v>
      </c>
      <c r="AF559" s="1979">
        <f>IF(Construction!$F$31=Construction!$R$22,Oeko!CS559,Oeko!FF559)</f>
        <v>0</v>
      </c>
      <c r="AG559" s="1979">
        <f>IF(Construction!$F$31=Construction!$R$22,Oeko!CT559,Oeko!FG559)</f>
        <v>0</v>
      </c>
      <c r="AH559" s="1998">
        <f>IF(Construction!$F$31=Construction!$R$22,Oeko!CU559,Oeko!FH559)</f>
        <v>0</v>
      </c>
      <c r="AI559" s="1998">
        <f>IF(Construction!$F$31=Construction!$R$22,Oeko!CV559,Oeko!FI559)</f>
        <v>0</v>
      </c>
      <c r="AJ559" s="1998">
        <f>IF(Construction!$F$31=Construction!$R$22,Oeko!CW559,Oeko!FJ559)</f>
        <v>0</v>
      </c>
      <c r="AK559" s="1998">
        <f>IF(Construction!$F$31=Construction!$R$22,Oeko!CX559,Oeko!FK559)</f>
        <v>0</v>
      </c>
      <c r="AL559" s="1998">
        <f>IF(Construction!$F$31=Construction!$R$22,Oeko!CY559,Oeko!FL559)</f>
        <v>0</v>
      </c>
      <c r="AM559" s="1979">
        <f>IF(Construction!$F$31=Construction!$R$22,Oeko!CZ559,Oeko!FM559)</f>
        <v>0</v>
      </c>
      <c r="AN559" s="1979">
        <f>IF(Construction!$F$31=Construction!$R$22,Oeko!DA559,Oeko!FN559)</f>
        <v>0</v>
      </c>
      <c r="AO559" s="1979">
        <f>IF(Construction!$F$31=Construction!$R$22,Oeko!DB559,Oeko!FO559)</f>
        <v>0</v>
      </c>
      <c r="AP559" s="1979">
        <f>IF(Construction!$F$31=Construction!$R$22,Oeko!DC559,Oeko!FP559)</f>
        <v>0</v>
      </c>
      <c r="AQ559" s="1979">
        <f>IF(Construction!$F$31=Construction!$R$22,Oeko!DD559,Oeko!FQ559)</f>
        <v>0</v>
      </c>
      <c r="AR559" s="1998">
        <f>IF(Construction!$F$31=Construction!$R$22,Oeko!DE559,Oeko!FR559)</f>
        <v>0</v>
      </c>
      <c r="AS559" s="1998">
        <f>IF(Construction!$F$31=Construction!$R$22,Oeko!DF559,Oeko!FS559)</f>
        <v>0</v>
      </c>
      <c r="AT559" s="1998">
        <f>IF(Construction!$F$31=Construction!$R$22,Oeko!DG559,Oeko!FT559)</f>
        <v>0</v>
      </c>
      <c r="AU559" s="1998">
        <f>IF(Construction!$F$31=Construction!$R$22,Oeko!DH559,Oeko!FU559)</f>
        <v>0</v>
      </c>
      <c r="AV559" s="1998">
        <f>IF(Construction!$F$31=Construction!$R$22,Oeko!DI559,Oeko!FV559)</f>
        <v>0</v>
      </c>
      <c r="AW559" s="1979">
        <f>IF(Construction!$F$31=Construction!$R$22,Oeko!DJ559,Oeko!FW559)</f>
        <v>0</v>
      </c>
      <c r="AX559" s="1979">
        <f>IF(Construction!$F$31=Construction!$R$22,Oeko!DK559,Oeko!FX559)</f>
        <v>0</v>
      </c>
      <c r="AY559" s="1979">
        <f>IF(Construction!$F$31=Construction!$R$22,Oeko!DL559,Oeko!FY559)</f>
        <v>0</v>
      </c>
      <c r="AZ559" s="1979">
        <f>IF(Construction!$F$31=Construction!$R$22,Oeko!DM559,Oeko!FZ559)</f>
        <v>0</v>
      </c>
      <c r="BA559" s="1979">
        <f>IF(Construction!$F$31=Construction!$R$22,Oeko!DN559,Oeko!GA559)</f>
        <v>0</v>
      </c>
      <c r="BB559" s="1998">
        <f>IF(Construction!$F$31=Construction!$R$22,Oeko!DO559,Oeko!GB559)</f>
        <v>0</v>
      </c>
      <c r="BC559" s="1998">
        <f>IF(Construction!$F$31=Construction!$R$22,Oeko!DP559,Oeko!GC559)</f>
        <v>0</v>
      </c>
      <c r="BD559" s="1998">
        <f>IF(Construction!$F$31=Construction!$R$22,Oeko!DQ559,Oeko!GD559)</f>
        <v>0</v>
      </c>
      <c r="BE559" s="1998">
        <f>IF(Construction!$F$31=Construction!$R$22,Oeko!DR559,Oeko!GE559)</f>
        <v>0</v>
      </c>
      <c r="BF559" s="1998">
        <f>IF(Construction!$F$31=Construction!$R$22,Oeko!DS559,Oeko!GF559)</f>
        <v>0</v>
      </c>
      <c r="BG559" s="1979">
        <f>IF(Construction!$F$31=Construction!$R$22,Oeko!DT559,Oeko!GG559)</f>
        <v>0</v>
      </c>
      <c r="BH559" s="1979">
        <f>IF(Construction!$F$31=Construction!$R$22,Oeko!DU559,Oeko!GH559)</f>
        <v>0</v>
      </c>
      <c r="BI559" s="1979">
        <f>IF(Construction!$F$31=Construction!$R$22,Oeko!DV559,Oeko!GI559)</f>
        <v>0</v>
      </c>
      <c r="BJ559" s="1979">
        <f>IF(Construction!$F$31=Construction!$R$22,Oeko!DW559,Oeko!GJ559)</f>
        <v>0</v>
      </c>
      <c r="BK559" s="2021">
        <f>IF(Construction!$F$31=Construction!$R$22,Oeko!DX559,Oeko!GK559)</f>
        <v>0</v>
      </c>
      <c r="BN559" s="2018"/>
      <c r="BO559" s="2">
        <v>19</v>
      </c>
      <c r="BP559" s="2" t="str">
        <f>CONCATENATE($U$8," ",GV$13)</f>
        <v xml:space="preserve">Proportion de fenêtres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Proportion de fenêtres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Proportion de fenêtres </v>
      </c>
      <c r="D560" s="1998">
        <f>IF(Construction!$F$31=Construction!$R$22,Oeko!BQ560,Oeko!ED560)</f>
        <v>0</v>
      </c>
      <c r="E560" s="1998">
        <f>IF(Construction!$F$31=Construction!$R$22,Oeko!BR560,Oeko!EE560)</f>
        <v>0</v>
      </c>
      <c r="F560" s="1998">
        <f>IF(Construction!$F$31=Construction!$R$22,Oeko!BS560,Oeko!EF560)</f>
        <v>0</v>
      </c>
      <c r="G560" s="1998">
        <f>IF(Construction!$F$31=Construction!$R$22,Oeko!BT560,Oeko!EG560)</f>
        <v>0</v>
      </c>
      <c r="H560" s="1998">
        <f>IF(Construction!$F$31=Construction!$R$22,Oeko!BU560,Oeko!EH560)</f>
        <v>0</v>
      </c>
      <c r="I560" s="1979">
        <f>IF(Construction!$F$31=Construction!$R$22,Oeko!BV560,Oeko!EI560)</f>
        <v>0</v>
      </c>
      <c r="J560" s="1979">
        <f>IF(Construction!$F$31=Construction!$R$22,Oeko!BW560,Oeko!EJ560)</f>
        <v>0</v>
      </c>
      <c r="K560" s="1979">
        <f>IF(Construction!$F$31=Construction!$R$22,Oeko!BX560,Oeko!EK560)</f>
        <v>0</v>
      </c>
      <c r="L560" s="1979">
        <f>IF(Construction!$F$31=Construction!$R$22,Oeko!BY560,Oeko!EL560)</f>
        <v>0</v>
      </c>
      <c r="M560" s="1979">
        <f>IF(Construction!$F$31=Construction!$R$22,Oeko!BZ560,Oeko!EM560)</f>
        <v>0</v>
      </c>
      <c r="N560" s="1998">
        <f>IF(Construction!$F$31=Construction!$R$22,Oeko!CA560,Oeko!EN560)</f>
        <v>0</v>
      </c>
      <c r="O560" s="1998">
        <f>IF(Construction!$F$31=Construction!$R$22,Oeko!CB560,Oeko!EO560)</f>
        <v>0</v>
      </c>
      <c r="P560" s="1998">
        <f>IF(Construction!$F$31=Construction!$R$22,Oeko!CC560,Oeko!EP560)</f>
        <v>0</v>
      </c>
      <c r="Q560" s="1998">
        <f>IF(Construction!$F$31=Construction!$R$22,Oeko!CD560,Oeko!EQ560)</f>
        <v>0</v>
      </c>
      <c r="R560" s="1998">
        <f>IF(Construction!$F$31=Construction!$R$22,Oeko!CE560,Oeko!ER560)</f>
        <v>0</v>
      </c>
      <c r="S560" s="1979">
        <f>IF(Construction!$F$31=Construction!$R$22,Oeko!CF560,Oeko!ES560)</f>
        <v>1</v>
      </c>
      <c r="T560" s="1979">
        <f>IF(Construction!$F$31=Construction!$R$22,Oeko!CG560,Oeko!ET560)</f>
        <v>1</v>
      </c>
      <c r="U560" s="1979">
        <f>IF(Construction!$F$31=Construction!$R$22,Oeko!CH560,Oeko!EU560)</f>
        <v>1</v>
      </c>
      <c r="V560" s="1979">
        <f>IF(Construction!$F$31=Construction!$R$22,Oeko!CI560,Oeko!EV560)</f>
        <v>1</v>
      </c>
      <c r="W560" s="1979">
        <f>IF(Construction!$F$31=Construction!$R$22,Oeko!CJ560,Oeko!EW560)</f>
        <v>1</v>
      </c>
      <c r="X560" s="1998">
        <f>IF(Construction!$F$31=Construction!$R$22,Oeko!CK560,Oeko!EX560)</f>
        <v>0</v>
      </c>
      <c r="Y560" s="1998">
        <f>IF(Construction!$F$31=Construction!$R$22,Oeko!CL560,Oeko!EY560)</f>
        <v>0</v>
      </c>
      <c r="Z560" s="1998">
        <f>IF(Construction!$F$31=Construction!$R$22,Oeko!CM560,Oeko!EZ560)</f>
        <v>0</v>
      </c>
      <c r="AA560" s="1998">
        <f>IF(Construction!$F$31=Construction!$R$22,Oeko!CN560,Oeko!FA560)</f>
        <v>0</v>
      </c>
      <c r="AB560" s="1998">
        <f>IF(Construction!$F$31=Construction!$R$22,Oeko!CO560,Oeko!FB560)</f>
        <v>0</v>
      </c>
      <c r="AC560" s="1979">
        <f>IF(Construction!$F$31=Construction!$R$22,Oeko!CP560,Oeko!FC560)</f>
        <v>0</v>
      </c>
      <c r="AD560" s="1979">
        <f>IF(Construction!$F$31=Construction!$R$22,Oeko!CQ560,Oeko!FD560)</f>
        <v>0</v>
      </c>
      <c r="AE560" s="1979">
        <f>IF(Construction!$F$31=Construction!$R$22,Oeko!CR560,Oeko!FE560)</f>
        <v>0</v>
      </c>
      <c r="AF560" s="1979">
        <f>IF(Construction!$F$31=Construction!$R$22,Oeko!CS560,Oeko!FF560)</f>
        <v>0</v>
      </c>
      <c r="AG560" s="1979">
        <f>IF(Construction!$F$31=Construction!$R$22,Oeko!CT560,Oeko!FG560)</f>
        <v>0</v>
      </c>
      <c r="AH560" s="1998">
        <f>IF(Construction!$F$31=Construction!$R$22,Oeko!CU560,Oeko!FH560)</f>
        <v>0</v>
      </c>
      <c r="AI560" s="1998">
        <f>IF(Construction!$F$31=Construction!$R$22,Oeko!CV560,Oeko!FI560)</f>
        <v>0</v>
      </c>
      <c r="AJ560" s="1998">
        <f>IF(Construction!$F$31=Construction!$R$22,Oeko!CW560,Oeko!FJ560)</f>
        <v>0</v>
      </c>
      <c r="AK560" s="1998">
        <f>IF(Construction!$F$31=Construction!$R$22,Oeko!CX560,Oeko!FK560)</f>
        <v>0</v>
      </c>
      <c r="AL560" s="1998">
        <f>IF(Construction!$F$31=Construction!$R$22,Oeko!CY560,Oeko!FL560)</f>
        <v>0</v>
      </c>
      <c r="AM560" s="1979">
        <f>IF(Construction!$F$31=Construction!$R$22,Oeko!CZ560,Oeko!FM560)</f>
        <v>0</v>
      </c>
      <c r="AN560" s="1979">
        <f>IF(Construction!$F$31=Construction!$R$22,Oeko!DA560,Oeko!FN560)</f>
        <v>0</v>
      </c>
      <c r="AO560" s="1979">
        <f>IF(Construction!$F$31=Construction!$R$22,Oeko!DB560,Oeko!FO560)</f>
        <v>0</v>
      </c>
      <c r="AP560" s="1979">
        <f>IF(Construction!$F$31=Construction!$R$22,Oeko!DC560,Oeko!FP560)</f>
        <v>0</v>
      </c>
      <c r="AQ560" s="1979">
        <f>IF(Construction!$F$31=Construction!$R$22,Oeko!DD560,Oeko!FQ560)</f>
        <v>0</v>
      </c>
      <c r="AR560" s="1998">
        <f>IF(Construction!$F$31=Construction!$R$22,Oeko!DE560,Oeko!FR560)</f>
        <v>0</v>
      </c>
      <c r="AS560" s="1998">
        <f>IF(Construction!$F$31=Construction!$R$22,Oeko!DF560,Oeko!FS560)</f>
        <v>0</v>
      </c>
      <c r="AT560" s="1998">
        <f>IF(Construction!$F$31=Construction!$R$22,Oeko!DG560,Oeko!FT560)</f>
        <v>0</v>
      </c>
      <c r="AU560" s="1998">
        <f>IF(Construction!$F$31=Construction!$R$22,Oeko!DH560,Oeko!FU560)</f>
        <v>0</v>
      </c>
      <c r="AV560" s="1998">
        <f>IF(Construction!$F$31=Construction!$R$22,Oeko!DI560,Oeko!FV560)</f>
        <v>0</v>
      </c>
      <c r="AW560" s="1979">
        <f>IF(Construction!$F$31=Construction!$R$22,Oeko!DJ560,Oeko!FW560)</f>
        <v>0</v>
      </c>
      <c r="AX560" s="1979">
        <f>IF(Construction!$F$31=Construction!$R$22,Oeko!DK560,Oeko!FX560)</f>
        <v>0</v>
      </c>
      <c r="AY560" s="1979">
        <f>IF(Construction!$F$31=Construction!$R$22,Oeko!DL560,Oeko!FY560)</f>
        <v>0</v>
      </c>
      <c r="AZ560" s="1979">
        <f>IF(Construction!$F$31=Construction!$R$22,Oeko!DM560,Oeko!FZ560)</f>
        <v>0</v>
      </c>
      <c r="BA560" s="1979">
        <f>IF(Construction!$F$31=Construction!$R$22,Oeko!DN560,Oeko!GA560)</f>
        <v>0</v>
      </c>
      <c r="BB560" s="1998">
        <f>IF(Construction!$F$31=Construction!$R$22,Oeko!DO560,Oeko!GB560)</f>
        <v>0</v>
      </c>
      <c r="BC560" s="1998">
        <f>IF(Construction!$F$31=Construction!$R$22,Oeko!DP560,Oeko!GC560)</f>
        <v>0</v>
      </c>
      <c r="BD560" s="1998">
        <f>IF(Construction!$F$31=Construction!$R$22,Oeko!DQ560,Oeko!GD560)</f>
        <v>0</v>
      </c>
      <c r="BE560" s="1998">
        <f>IF(Construction!$F$31=Construction!$R$22,Oeko!DR560,Oeko!GE560)</f>
        <v>0</v>
      </c>
      <c r="BF560" s="1998">
        <f>IF(Construction!$F$31=Construction!$R$22,Oeko!DS560,Oeko!GF560)</f>
        <v>0</v>
      </c>
      <c r="BG560" s="1979">
        <f>IF(Construction!$F$31=Construction!$R$22,Oeko!DT560,Oeko!GG560)</f>
        <v>0</v>
      </c>
      <c r="BH560" s="1979">
        <f>IF(Construction!$F$31=Construction!$R$22,Oeko!DU560,Oeko!GH560)</f>
        <v>0</v>
      </c>
      <c r="BI560" s="1979">
        <f>IF(Construction!$F$31=Construction!$R$22,Oeko!DV560,Oeko!GI560)</f>
        <v>0</v>
      </c>
      <c r="BJ560" s="1979">
        <f>IF(Construction!$F$31=Construction!$R$22,Oeko!DW560,Oeko!GJ560)</f>
        <v>0</v>
      </c>
      <c r="BK560" s="2021">
        <f>IF(Construction!$F$31=Construction!$R$22,Oeko!DX560,Oeko!GK560)</f>
        <v>0</v>
      </c>
      <c r="BN560" s="2018"/>
      <c r="BO560" s="2">
        <v>20</v>
      </c>
      <c r="BP560" s="2" t="str">
        <f>CONCATENATE($U$8," ",GV$14)</f>
        <v xml:space="preserve">Proportion de fenêtres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Proportion de fenêtres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Proportion de fenêtres </v>
      </c>
      <c r="D561" s="1998">
        <f>IF(Construction!$F$31=Construction!$R$22,Oeko!BQ561,Oeko!ED561)</f>
        <v>0</v>
      </c>
      <c r="E561" s="1998">
        <f>IF(Construction!$F$31=Construction!$R$22,Oeko!BR561,Oeko!EE561)</f>
        <v>0</v>
      </c>
      <c r="F561" s="1998">
        <f>IF(Construction!$F$31=Construction!$R$22,Oeko!BS561,Oeko!EF561)</f>
        <v>0</v>
      </c>
      <c r="G561" s="1998">
        <f>IF(Construction!$F$31=Construction!$R$22,Oeko!BT561,Oeko!EG561)</f>
        <v>0</v>
      </c>
      <c r="H561" s="1998">
        <f>IF(Construction!$F$31=Construction!$R$22,Oeko!BU561,Oeko!EH561)</f>
        <v>0</v>
      </c>
      <c r="I561" s="1979">
        <f>IF(Construction!$F$31=Construction!$R$22,Oeko!BV561,Oeko!EI561)</f>
        <v>0</v>
      </c>
      <c r="J561" s="1979">
        <f>IF(Construction!$F$31=Construction!$R$22,Oeko!BW561,Oeko!EJ561)</f>
        <v>0</v>
      </c>
      <c r="K561" s="1979">
        <f>IF(Construction!$F$31=Construction!$R$22,Oeko!BX561,Oeko!EK561)</f>
        <v>0</v>
      </c>
      <c r="L561" s="1979">
        <f>IF(Construction!$F$31=Construction!$R$22,Oeko!BY561,Oeko!EL561)</f>
        <v>0</v>
      </c>
      <c r="M561" s="1979">
        <f>IF(Construction!$F$31=Construction!$R$22,Oeko!BZ561,Oeko!EM561)</f>
        <v>0</v>
      </c>
      <c r="N561" s="1998">
        <f>IF(Construction!$F$31=Construction!$R$22,Oeko!CA561,Oeko!EN561)</f>
        <v>0</v>
      </c>
      <c r="O561" s="1998">
        <f>IF(Construction!$F$31=Construction!$R$22,Oeko!CB561,Oeko!EO561)</f>
        <v>0</v>
      </c>
      <c r="P561" s="1998">
        <f>IF(Construction!$F$31=Construction!$R$22,Oeko!CC561,Oeko!EP561)</f>
        <v>0</v>
      </c>
      <c r="Q561" s="1998">
        <f>IF(Construction!$F$31=Construction!$R$22,Oeko!CD561,Oeko!EQ561)</f>
        <v>0</v>
      </c>
      <c r="R561" s="1998">
        <f>IF(Construction!$F$31=Construction!$R$22,Oeko!CE561,Oeko!ER561)</f>
        <v>0</v>
      </c>
      <c r="S561" s="1979">
        <f>IF(Construction!$F$31=Construction!$R$22,Oeko!CF561,Oeko!ES561)</f>
        <v>1</v>
      </c>
      <c r="T561" s="1979">
        <f>IF(Construction!$F$31=Construction!$R$22,Oeko!CG561,Oeko!ET561)</f>
        <v>1</v>
      </c>
      <c r="U561" s="1979">
        <f>IF(Construction!$F$31=Construction!$R$22,Oeko!CH561,Oeko!EU561)</f>
        <v>1</v>
      </c>
      <c r="V561" s="1979">
        <f>IF(Construction!$F$31=Construction!$R$22,Oeko!CI561,Oeko!EV561)</f>
        <v>1</v>
      </c>
      <c r="W561" s="1979">
        <f>IF(Construction!$F$31=Construction!$R$22,Oeko!CJ561,Oeko!EW561)</f>
        <v>1</v>
      </c>
      <c r="X561" s="1998">
        <f>IF(Construction!$F$31=Construction!$R$22,Oeko!CK561,Oeko!EX561)</f>
        <v>0</v>
      </c>
      <c r="Y561" s="1998">
        <f>IF(Construction!$F$31=Construction!$R$22,Oeko!CL561,Oeko!EY561)</f>
        <v>0</v>
      </c>
      <c r="Z561" s="1998">
        <f>IF(Construction!$F$31=Construction!$R$22,Oeko!CM561,Oeko!EZ561)</f>
        <v>0</v>
      </c>
      <c r="AA561" s="1998">
        <f>IF(Construction!$F$31=Construction!$R$22,Oeko!CN561,Oeko!FA561)</f>
        <v>0</v>
      </c>
      <c r="AB561" s="1998">
        <f>IF(Construction!$F$31=Construction!$R$22,Oeko!CO561,Oeko!FB561)</f>
        <v>0</v>
      </c>
      <c r="AC561" s="1979">
        <f>IF(Construction!$F$31=Construction!$R$22,Oeko!CP561,Oeko!FC561)</f>
        <v>0</v>
      </c>
      <c r="AD561" s="1979">
        <f>IF(Construction!$F$31=Construction!$R$22,Oeko!CQ561,Oeko!FD561)</f>
        <v>0</v>
      </c>
      <c r="AE561" s="1979">
        <f>IF(Construction!$F$31=Construction!$R$22,Oeko!CR561,Oeko!FE561)</f>
        <v>0</v>
      </c>
      <c r="AF561" s="1979">
        <f>IF(Construction!$F$31=Construction!$R$22,Oeko!CS561,Oeko!FF561)</f>
        <v>0</v>
      </c>
      <c r="AG561" s="1979">
        <f>IF(Construction!$F$31=Construction!$R$22,Oeko!CT561,Oeko!FG561)</f>
        <v>0</v>
      </c>
      <c r="AH561" s="1998">
        <f>IF(Construction!$F$31=Construction!$R$22,Oeko!CU561,Oeko!FH561)</f>
        <v>0</v>
      </c>
      <c r="AI561" s="1998">
        <f>IF(Construction!$F$31=Construction!$R$22,Oeko!CV561,Oeko!FI561)</f>
        <v>0</v>
      </c>
      <c r="AJ561" s="1998">
        <f>IF(Construction!$F$31=Construction!$R$22,Oeko!CW561,Oeko!FJ561)</f>
        <v>0</v>
      </c>
      <c r="AK561" s="1998">
        <f>IF(Construction!$F$31=Construction!$R$22,Oeko!CX561,Oeko!FK561)</f>
        <v>0</v>
      </c>
      <c r="AL561" s="1998">
        <f>IF(Construction!$F$31=Construction!$R$22,Oeko!CY561,Oeko!FL561)</f>
        <v>0</v>
      </c>
      <c r="AM561" s="1979">
        <f>IF(Construction!$F$31=Construction!$R$22,Oeko!CZ561,Oeko!FM561)</f>
        <v>0</v>
      </c>
      <c r="AN561" s="1979">
        <f>IF(Construction!$F$31=Construction!$R$22,Oeko!DA561,Oeko!FN561)</f>
        <v>0</v>
      </c>
      <c r="AO561" s="1979">
        <f>IF(Construction!$F$31=Construction!$R$22,Oeko!DB561,Oeko!FO561)</f>
        <v>0</v>
      </c>
      <c r="AP561" s="1979">
        <f>IF(Construction!$F$31=Construction!$R$22,Oeko!DC561,Oeko!FP561)</f>
        <v>0</v>
      </c>
      <c r="AQ561" s="1979">
        <f>IF(Construction!$F$31=Construction!$R$22,Oeko!DD561,Oeko!FQ561)</f>
        <v>0</v>
      </c>
      <c r="AR561" s="1998">
        <f>IF(Construction!$F$31=Construction!$R$22,Oeko!DE561,Oeko!FR561)</f>
        <v>0</v>
      </c>
      <c r="AS561" s="1998">
        <f>IF(Construction!$F$31=Construction!$R$22,Oeko!DF561,Oeko!FS561)</f>
        <v>0</v>
      </c>
      <c r="AT561" s="1998">
        <f>IF(Construction!$F$31=Construction!$R$22,Oeko!DG561,Oeko!FT561)</f>
        <v>0</v>
      </c>
      <c r="AU561" s="1998">
        <f>IF(Construction!$F$31=Construction!$R$22,Oeko!DH561,Oeko!FU561)</f>
        <v>0</v>
      </c>
      <c r="AV561" s="1998">
        <f>IF(Construction!$F$31=Construction!$R$22,Oeko!DI561,Oeko!FV561)</f>
        <v>0</v>
      </c>
      <c r="AW561" s="1979">
        <f>IF(Construction!$F$31=Construction!$R$22,Oeko!DJ561,Oeko!FW561)</f>
        <v>0</v>
      </c>
      <c r="AX561" s="1979">
        <f>IF(Construction!$F$31=Construction!$R$22,Oeko!DK561,Oeko!FX561)</f>
        <v>0</v>
      </c>
      <c r="AY561" s="1979">
        <f>IF(Construction!$F$31=Construction!$R$22,Oeko!DL561,Oeko!FY561)</f>
        <v>0</v>
      </c>
      <c r="AZ561" s="1979">
        <f>IF(Construction!$F$31=Construction!$R$22,Oeko!DM561,Oeko!FZ561)</f>
        <v>0</v>
      </c>
      <c r="BA561" s="1979">
        <f>IF(Construction!$F$31=Construction!$R$22,Oeko!DN561,Oeko!GA561)</f>
        <v>0</v>
      </c>
      <c r="BB561" s="1998">
        <f>IF(Construction!$F$31=Construction!$R$22,Oeko!DO561,Oeko!GB561)</f>
        <v>0</v>
      </c>
      <c r="BC561" s="1998">
        <f>IF(Construction!$F$31=Construction!$R$22,Oeko!DP561,Oeko!GC561)</f>
        <v>0</v>
      </c>
      <c r="BD561" s="1998">
        <f>IF(Construction!$F$31=Construction!$R$22,Oeko!DQ561,Oeko!GD561)</f>
        <v>0</v>
      </c>
      <c r="BE561" s="1998">
        <f>IF(Construction!$F$31=Construction!$R$22,Oeko!DR561,Oeko!GE561)</f>
        <v>0</v>
      </c>
      <c r="BF561" s="1998">
        <f>IF(Construction!$F$31=Construction!$R$22,Oeko!DS561,Oeko!GF561)</f>
        <v>0</v>
      </c>
      <c r="BG561" s="1979">
        <f>IF(Construction!$F$31=Construction!$R$22,Oeko!DT561,Oeko!GG561)</f>
        <v>0</v>
      </c>
      <c r="BH561" s="1979">
        <f>IF(Construction!$F$31=Construction!$R$22,Oeko!DU561,Oeko!GH561)</f>
        <v>0</v>
      </c>
      <c r="BI561" s="1979">
        <f>IF(Construction!$F$31=Construction!$R$22,Oeko!DV561,Oeko!GI561)</f>
        <v>0</v>
      </c>
      <c r="BJ561" s="1979">
        <f>IF(Construction!$F$31=Construction!$R$22,Oeko!DW561,Oeko!GJ561)</f>
        <v>0</v>
      </c>
      <c r="BK561" s="2021">
        <f>IF(Construction!$F$31=Construction!$R$22,Oeko!DX561,Oeko!GK561)</f>
        <v>0</v>
      </c>
      <c r="BN561" s="2018"/>
      <c r="BO561" s="2">
        <v>21</v>
      </c>
      <c r="BP561" s="2" t="str">
        <f>CONCATENATE($U$8," ",GV$15)</f>
        <v xml:space="preserve">Proportion de fenêtres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Proportion de fenêtres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Proportion de fenêtres </v>
      </c>
      <c r="D562" s="1998">
        <f>IF(Construction!$F$31=Construction!$R$22,Oeko!BQ562,Oeko!ED562)</f>
        <v>0</v>
      </c>
      <c r="E562" s="1998">
        <f>IF(Construction!$F$31=Construction!$R$22,Oeko!BR562,Oeko!EE562)</f>
        <v>0</v>
      </c>
      <c r="F562" s="1998">
        <f>IF(Construction!$F$31=Construction!$R$22,Oeko!BS562,Oeko!EF562)</f>
        <v>0</v>
      </c>
      <c r="G562" s="1998">
        <f>IF(Construction!$F$31=Construction!$R$22,Oeko!BT562,Oeko!EG562)</f>
        <v>0</v>
      </c>
      <c r="H562" s="1998">
        <f>IF(Construction!$F$31=Construction!$R$22,Oeko!BU562,Oeko!EH562)</f>
        <v>0</v>
      </c>
      <c r="I562" s="1979">
        <f>IF(Construction!$F$31=Construction!$R$22,Oeko!BV562,Oeko!EI562)</f>
        <v>0</v>
      </c>
      <c r="J562" s="1979">
        <f>IF(Construction!$F$31=Construction!$R$22,Oeko!BW562,Oeko!EJ562)</f>
        <v>0</v>
      </c>
      <c r="K562" s="1979">
        <f>IF(Construction!$F$31=Construction!$R$22,Oeko!BX562,Oeko!EK562)</f>
        <v>0</v>
      </c>
      <c r="L562" s="1979">
        <f>IF(Construction!$F$31=Construction!$R$22,Oeko!BY562,Oeko!EL562)</f>
        <v>0</v>
      </c>
      <c r="M562" s="1979">
        <f>IF(Construction!$F$31=Construction!$R$22,Oeko!BZ562,Oeko!EM562)</f>
        <v>0</v>
      </c>
      <c r="N562" s="1998">
        <f>IF(Construction!$F$31=Construction!$R$22,Oeko!CA562,Oeko!EN562)</f>
        <v>0</v>
      </c>
      <c r="O562" s="1998">
        <f>IF(Construction!$F$31=Construction!$R$22,Oeko!CB562,Oeko!EO562)</f>
        <v>0</v>
      </c>
      <c r="P562" s="1998">
        <f>IF(Construction!$F$31=Construction!$R$22,Oeko!CC562,Oeko!EP562)</f>
        <v>0</v>
      </c>
      <c r="Q562" s="1998">
        <f>IF(Construction!$F$31=Construction!$R$22,Oeko!CD562,Oeko!EQ562)</f>
        <v>0</v>
      </c>
      <c r="R562" s="1998">
        <f>IF(Construction!$F$31=Construction!$R$22,Oeko!CE562,Oeko!ER562)</f>
        <v>0</v>
      </c>
      <c r="S562" s="1979">
        <f>IF(Construction!$F$31=Construction!$R$22,Oeko!CF562,Oeko!ES562)</f>
        <v>1</v>
      </c>
      <c r="T562" s="1979">
        <f>IF(Construction!$F$31=Construction!$R$22,Oeko!CG562,Oeko!ET562)</f>
        <v>1</v>
      </c>
      <c r="U562" s="1979">
        <f>IF(Construction!$F$31=Construction!$R$22,Oeko!CH562,Oeko!EU562)</f>
        <v>1</v>
      </c>
      <c r="V562" s="1979">
        <f>IF(Construction!$F$31=Construction!$R$22,Oeko!CI562,Oeko!EV562)</f>
        <v>1</v>
      </c>
      <c r="W562" s="1979">
        <f>IF(Construction!$F$31=Construction!$R$22,Oeko!CJ562,Oeko!EW562)</f>
        <v>1</v>
      </c>
      <c r="X562" s="1998">
        <f>IF(Construction!$F$31=Construction!$R$22,Oeko!CK562,Oeko!EX562)</f>
        <v>0</v>
      </c>
      <c r="Y562" s="1998">
        <f>IF(Construction!$F$31=Construction!$R$22,Oeko!CL562,Oeko!EY562)</f>
        <v>0</v>
      </c>
      <c r="Z562" s="1998">
        <f>IF(Construction!$F$31=Construction!$R$22,Oeko!CM562,Oeko!EZ562)</f>
        <v>0</v>
      </c>
      <c r="AA562" s="1998">
        <f>IF(Construction!$F$31=Construction!$R$22,Oeko!CN562,Oeko!FA562)</f>
        <v>0</v>
      </c>
      <c r="AB562" s="1998">
        <f>IF(Construction!$F$31=Construction!$R$22,Oeko!CO562,Oeko!FB562)</f>
        <v>0</v>
      </c>
      <c r="AC562" s="1979">
        <f>IF(Construction!$F$31=Construction!$R$22,Oeko!CP562,Oeko!FC562)</f>
        <v>0</v>
      </c>
      <c r="AD562" s="1979">
        <f>IF(Construction!$F$31=Construction!$R$22,Oeko!CQ562,Oeko!FD562)</f>
        <v>0</v>
      </c>
      <c r="AE562" s="1979">
        <f>IF(Construction!$F$31=Construction!$R$22,Oeko!CR562,Oeko!FE562)</f>
        <v>0</v>
      </c>
      <c r="AF562" s="1979">
        <f>IF(Construction!$F$31=Construction!$R$22,Oeko!CS562,Oeko!FF562)</f>
        <v>0</v>
      </c>
      <c r="AG562" s="1979">
        <f>IF(Construction!$F$31=Construction!$R$22,Oeko!CT562,Oeko!FG562)</f>
        <v>0</v>
      </c>
      <c r="AH562" s="1998">
        <f>IF(Construction!$F$31=Construction!$R$22,Oeko!CU562,Oeko!FH562)</f>
        <v>0</v>
      </c>
      <c r="AI562" s="1998">
        <f>IF(Construction!$F$31=Construction!$R$22,Oeko!CV562,Oeko!FI562)</f>
        <v>0</v>
      </c>
      <c r="AJ562" s="1998">
        <f>IF(Construction!$F$31=Construction!$R$22,Oeko!CW562,Oeko!FJ562)</f>
        <v>0</v>
      </c>
      <c r="AK562" s="1998">
        <f>IF(Construction!$F$31=Construction!$R$22,Oeko!CX562,Oeko!FK562)</f>
        <v>0</v>
      </c>
      <c r="AL562" s="1998">
        <f>IF(Construction!$F$31=Construction!$R$22,Oeko!CY562,Oeko!FL562)</f>
        <v>0</v>
      </c>
      <c r="AM562" s="1979">
        <f>IF(Construction!$F$31=Construction!$R$22,Oeko!CZ562,Oeko!FM562)</f>
        <v>0</v>
      </c>
      <c r="AN562" s="1979">
        <f>IF(Construction!$F$31=Construction!$R$22,Oeko!DA562,Oeko!FN562)</f>
        <v>0</v>
      </c>
      <c r="AO562" s="1979">
        <f>IF(Construction!$F$31=Construction!$R$22,Oeko!DB562,Oeko!FO562)</f>
        <v>0</v>
      </c>
      <c r="AP562" s="1979">
        <f>IF(Construction!$F$31=Construction!$R$22,Oeko!DC562,Oeko!FP562)</f>
        <v>0</v>
      </c>
      <c r="AQ562" s="1979">
        <f>IF(Construction!$F$31=Construction!$R$22,Oeko!DD562,Oeko!FQ562)</f>
        <v>0</v>
      </c>
      <c r="AR562" s="1998">
        <f>IF(Construction!$F$31=Construction!$R$22,Oeko!DE562,Oeko!FR562)</f>
        <v>0</v>
      </c>
      <c r="AS562" s="1998">
        <f>IF(Construction!$F$31=Construction!$R$22,Oeko!DF562,Oeko!FS562)</f>
        <v>0</v>
      </c>
      <c r="AT562" s="1998">
        <f>IF(Construction!$F$31=Construction!$R$22,Oeko!DG562,Oeko!FT562)</f>
        <v>0</v>
      </c>
      <c r="AU562" s="1998">
        <f>IF(Construction!$F$31=Construction!$R$22,Oeko!DH562,Oeko!FU562)</f>
        <v>0</v>
      </c>
      <c r="AV562" s="1998">
        <f>IF(Construction!$F$31=Construction!$R$22,Oeko!DI562,Oeko!FV562)</f>
        <v>0</v>
      </c>
      <c r="AW562" s="1979">
        <f>IF(Construction!$F$31=Construction!$R$22,Oeko!DJ562,Oeko!FW562)</f>
        <v>0</v>
      </c>
      <c r="AX562" s="1979">
        <f>IF(Construction!$F$31=Construction!$R$22,Oeko!DK562,Oeko!FX562)</f>
        <v>0</v>
      </c>
      <c r="AY562" s="1979">
        <f>IF(Construction!$F$31=Construction!$R$22,Oeko!DL562,Oeko!FY562)</f>
        <v>0</v>
      </c>
      <c r="AZ562" s="1979">
        <f>IF(Construction!$F$31=Construction!$R$22,Oeko!DM562,Oeko!FZ562)</f>
        <v>0</v>
      </c>
      <c r="BA562" s="1979">
        <f>IF(Construction!$F$31=Construction!$R$22,Oeko!DN562,Oeko!GA562)</f>
        <v>0</v>
      </c>
      <c r="BB562" s="1998">
        <f>IF(Construction!$F$31=Construction!$R$22,Oeko!DO562,Oeko!GB562)</f>
        <v>0</v>
      </c>
      <c r="BC562" s="1998">
        <f>IF(Construction!$F$31=Construction!$R$22,Oeko!DP562,Oeko!GC562)</f>
        <v>0</v>
      </c>
      <c r="BD562" s="1998">
        <f>IF(Construction!$F$31=Construction!$R$22,Oeko!DQ562,Oeko!GD562)</f>
        <v>0</v>
      </c>
      <c r="BE562" s="1998">
        <f>IF(Construction!$F$31=Construction!$R$22,Oeko!DR562,Oeko!GE562)</f>
        <v>0</v>
      </c>
      <c r="BF562" s="1998">
        <f>IF(Construction!$F$31=Construction!$R$22,Oeko!DS562,Oeko!GF562)</f>
        <v>0</v>
      </c>
      <c r="BG562" s="1979">
        <f>IF(Construction!$F$31=Construction!$R$22,Oeko!DT562,Oeko!GG562)</f>
        <v>0</v>
      </c>
      <c r="BH562" s="1979">
        <f>IF(Construction!$F$31=Construction!$R$22,Oeko!DU562,Oeko!GH562)</f>
        <v>0</v>
      </c>
      <c r="BI562" s="1979">
        <f>IF(Construction!$F$31=Construction!$R$22,Oeko!DV562,Oeko!GI562)</f>
        <v>0</v>
      </c>
      <c r="BJ562" s="1979">
        <f>IF(Construction!$F$31=Construction!$R$22,Oeko!DW562,Oeko!GJ562)</f>
        <v>0</v>
      </c>
      <c r="BK562" s="2021">
        <f>IF(Construction!$F$31=Construction!$R$22,Oeko!DX562,Oeko!GK562)</f>
        <v>0</v>
      </c>
      <c r="BN562" s="2018"/>
      <c r="BO562" s="2">
        <v>22</v>
      </c>
      <c r="BP562" s="2" t="str">
        <f>CONCATENATE($U$8," ",GV$16)</f>
        <v xml:space="preserve">Proportion de fenêtres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Proportion de fenêtres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Proportion de fenêtres </v>
      </c>
      <c r="D563" s="1998">
        <f>IF(Construction!$F$31=Construction!$R$22,Oeko!BQ563,Oeko!ED563)</f>
        <v>0</v>
      </c>
      <c r="E563" s="1998">
        <f>IF(Construction!$F$31=Construction!$R$22,Oeko!BR563,Oeko!EE563)</f>
        <v>0</v>
      </c>
      <c r="F563" s="1998">
        <f>IF(Construction!$F$31=Construction!$R$22,Oeko!BS563,Oeko!EF563)</f>
        <v>0</v>
      </c>
      <c r="G563" s="1998">
        <f>IF(Construction!$F$31=Construction!$R$22,Oeko!BT563,Oeko!EG563)</f>
        <v>0</v>
      </c>
      <c r="H563" s="1998">
        <f>IF(Construction!$F$31=Construction!$R$22,Oeko!BU563,Oeko!EH563)</f>
        <v>0</v>
      </c>
      <c r="I563" s="1979">
        <f>IF(Construction!$F$31=Construction!$R$22,Oeko!BV563,Oeko!EI563)</f>
        <v>0</v>
      </c>
      <c r="J563" s="1979">
        <f>IF(Construction!$F$31=Construction!$R$22,Oeko!BW563,Oeko!EJ563)</f>
        <v>0</v>
      </c>
      <c r="K563" s="1979">
        <f>IF(Construction!$F$31=Construction!$R$22,Oeko!BX563,Oeko!EK563)</f>
        <v>0</v>
      </c>
      <c r="L563" s="1979">
        <f>IF(Construction!$F$31=Construction!$R$22,Oeko!BY563,Oeko!EL563)</f>
        <v>0</v>
      </c>
      <c r="M563" s="1979">
        <f>IF(Construction!$F$31=Construction!$R$22,Oeko!BZ563,Oeko!EM563)</f>
        <v>0</v>
      </c>
      <c r="N563" s="1998">
        <f>IF(Construction!$F$31=Construction!$R$22,Oeko!CA563,Oeko!EN563)</f>
        <v>0</v>
      </c>
      <c r="O563" s="1998">
        <f>IF(Construction!$F$31=Construction!$R$22,Oeko!CB563,Oeko!EO563)</f>
        <v>0</v>
      </c>
      <c r="P563" s="1998">
        <f>IF(Construction!$F$31=Construction!$R$22,Oeko!CC563,Oeko!EP563)</f>
        <v>0</v>
      </c>
      <c r="Q563" s="1998">
        <f>IF(Construction!$F$31=Construction!$R$22,Oeko!CD563,Oeko!EQ563)</f>
        <v>0</v>
      </c>
      <c r="R563" s="1998">
        <f>IF(Construction!$F$31=Construction!$R$22,Oeko!CE563,Oeko!ER563)</f>
        <v>0</v>
      </c>
      <c r="S563" s="1979">
        <f>IF(Construction!$F$31=Construction!$R$22,Oeko!CF563,Oeko!ES563)</f>
        <v>1</v>
      </c>
      <c r="T563" s="1979">
        <f>IF(Construction!$F$31=Construction!$R$22,Oeko!CG563,Oeko!ET563)</f>
        <v>1</v>
      </c>
      <c r="U563" s="1979">
        <f>IF(Construction!$F$31=Construction!$R$22,Oeko!CH563,Oeko!EU563)</f>
        <v>1</v>
      </c>
      <c r="V563" s="1979">
        <f>IF(Construction!$F$31=Construction!$R$22,Oeko!CI563,Oeko!EV563)</f>
        <v>1</v>
      </c>
      <c r="W563" s="1979">
        <f>IF(Construction!$F$31=Construction!$R$22,Oeko!CJ563,Oeko!EW563)</f>
        <v>1</v>
      </c>
      <c r="X563" s="1998">
        <f>IF(Construction!$F$31=Construction!$R$22,Oeko!CK563,Oeko!EX563)</f>
        <v>0</v>
      </c>
      <c r="Y563" s="1998">
        <f>IF(Construction!$F$31=Construction!$R$22,Oeko!CL563,Oeko!EY563)</f>
        <v>0</v>
      </c>
      <c r="Z563" s="1998">
        <f>IF(Construction!$F$31=Construction!$R$22,Oeko!CM563,Oeko!EZ563)</f>
        <v>0</v>
      </c>
      <c r="AA563" s="1998">
        <f>IF(Construction!$F$31=Construction!$R$22,Oeko!CN563,Oeko!FA563)</f>
        <v>0</v>
      </c>
      <c r="AB563" s="1998">
        <f>IF(Construction!$F$31=Construction!$R$22,Oeko!CO563,Oeko!FB563)</f>
        <v>0</v>
      </c>
      <c r="AC563" s="1979">
        <f>IF(Construction!$F$31=Construction!$R$22,Oeko!CP563,Oeko!FC563)</f>
        <v>0</v>
      </c>
      <c r="AD563" s="1979">
        <f>IF(Construction!$F$31=Construction!$R$22,Oeko!CQ563,Oeko!FD563)</f>
        <v>0</v>
      </c>
      <c r="AE563" s="1979">
        <f>IF(Construction!$F$31=Construction!$R$22,Oeko!CR563,Oeko!FE563)</f>
        <v>0</v>
      </c>
      <c r="AF563" s="1979">
        <f>IF(Construction!$F$31=Construction!$R$22,Oeko!CS563,Oeko!FF563)</f>
        <v>0</v>
      </c>
      <c r="AG563" s="1979">
        <f>IF(Construction!$F$31=Construction!$R$22,Oeko!CT563,Oeko!FG563)</f>
        <v>0</v>
      </c>
      <c r="AH563" s="1998">
        <f>IF(Construction!$F$31=Construction!$R$22,Oeko!CU563,Oeko!FH563)</f>
        <v>0</v>
      </c>
      <c r="AI563" s="1998">
        <f>IF(Construction!$F$31=Construction!$R$22,Oeko!CV563,Oeko!FI563)</f>
        <v>0</v>
      </c>
      <c r="AJ563" s="1998">
        <f>IF(Construction!$F$31=Construction!$R$22,Oeko!CW563,Oeko!FJ563)</f>
        <v>0</v>
      </c>
      <c r="AK563" s="1998">
        <f>IF(Construction!$F$31=Construction!$R$22,Oeko!CX563,Oeko!FK563)</f>
        <v>0</v>
      </c>
      <c r="AL563" s="1998">
        <f>IF(Construction!$F$31=Construction!$R$22,Oeko!CY563,Oeko!FL563)</f>
        <v>0</v>
      </c>
      <c r="AM563" s="1979">
        <f>IF(Construction!$F$31=Construction!$R$22,Oeko!CZ563,Oeko!FM563)</f>
        <v>0</v>
      </c>
      <c r="AN563" s="1979">
        <f>IF(Construction!$F$31=Construction!$R$22,Oeko!DA563,Oeko!FN563)</f>
        <v>0</v>
      </c>
      <c r="AO563" s="1979">
        <f>IF(Construction!$F$31=Construction!$R$22,Oeko!DB563,Oeko!FO563)</f>
        <v>0</v>
      </c>
      <c r="AP563" s="1979">
        <f>IF(Construction!$F$31=Construction!$R$22,Oeko!DC563,Oeko!FP563)</f>
        <v>0</v>
      </c>
      <c r="AQ563" s="1979">
        <f>IF(Construction!$F$31=Construction!$R$22,Oeko!DD563,Oeko!FQ563)</f>
        <v>0</v>
      </c>
      <c r="AR563" s="1998">
        <f>IF(Construction!$F$31=Construction!$R$22,Oeko!DE563,Oeko!FR563)</f>
        <v>0</v>
      </c>
      <c r="AS563" s="1998">
        <f>IF(Construction!$F$31=Construction!$R$22,Oeko!DF563,Oeko!FS563)</f>
        <v>0</v>
      </c>
      <c r="AT563" s="1998">
        <f>IF(Construction!$F$31=Construction!$R$22,Oeko!DG563,Oeko!FT563)</f>
        <v>0</v>
      </c>
      <c r="AU563" s="1998">
        <f>IF(Construction!$F$31=Construction!$R$22,Oeko!DH563,Oeko!FU563)</f>
        <v>0</v>
      </c>
      <c r="AV563" s="1998">
        <f>IF(Construction!$F$31=Construction!$R$22,Oeko!DI563,Oeko!FV563)</f>
        <v>0</v>
      </c>
      <c r="AW563" s="1979">
        <f>IF(Construction!$F$31=Construction!$R$22,Oeko!DJ563,Oeko!FW563)</f>
        <v>0</v>
      </c>
      <c r="AX563" s="1979">
        <f>IF(Construction!$F$31=Construction!$R$22,Oeko!DK563,Oeko!FX563)</f>
        <v>0</v>
      </c>
      <c r="AY563" s="1979">
        <f>IF(Construction!$F$31=Construction!$R$22,Oeko!DL563,Oeko!FY563)</f>
        <v>0</v>
      </c>
      <c r="AZ563" s="1979">
        <f>IF(Construction!$F$31=Construction!$R$22,Oeko!DM563,Oeko!FZ563)</f>
        <v>0</v>
      </c>
      <c r="BA563" s="1979">
        <f>IF(Construction!$F$31=Construction!$R$22,Oeko!DN563,Oeko!GA563)</f>
        <v>0</v>
      </c>
      <c r="BB563" s="1998">
        <f>IF(Construction!$F$31=Construction!$R$22,Oeko!DO563,Oeko!GB563)</f>
        <v>0</v>
      </c>
      <c r="BC563" s="1998">
        <f>IF(Construction!$F$31=Construction!$R$22,Oeko!DP563,Oeko!GC563)</f>
        <v>0</v>
      </c>
      <c r="BD563" s="1998">
        <f>IF(Construction!$F$31=Construction!$R$22,Oeko!DQ563,Oeko!GD563)</f>
        <v>0</v>
      </c>
      <c r="BE563" s="1998">
        <f>IF(Construction!$F$31=Construction!$R$22,Oeko!DR563,Oeko!GE563)</f>
        <v>0</v>
      </c>
      <c r="BF563" s="1998">
        <f>IF(Construction!$F$31=Construction!$R$22,Oeko!DS563,Oeko!GF563)</f>
        <v>0</v>
      </c>
      <c r="BG563" s="1979">
        <f>IF(Construction!$F$31=Construction!$R$22,Oeko!DT563,Oeko!GG563)</f>
        <v>0</v>
      </c>
      <c r="BH563" s="1979">
        <f>IF(Construction!$F$31=Construction!$R$22,Oeko!DU563,Oeko!GH563)</f>
        <v>0</v>
      </c>
      <c r="BI563" s="1979">
        <f>IF(Construction!$F$31=Construction!$R$22,Oeko!DV563,Oeko!GI563)</f>
        <v>0</v>
      </c>
      <c r="BJ563" s="1979">
        <f>IF(Construction!$F$31=Construction!$R$22,Oeko!DW563,Oeko!GJ563)</f>
        <v>0</v>
      </c>
      <c r="BK563" s="2021">
        <f>IF(Construction!$F$31=Construction!$R$22,Oeko!DX563,Oeko!GK563)</f>
        <v>0</v>
      </c>
      <c r="BN563" s="2018"/>
      <c r="BO563" s="2">
        <v>23</v>
      </c>
      <c r="BP563" s="2" t="str">
        <f>CONCATENATE($U$8," ",GV$17)</f>
        <v xml:space="preserve">Proportion de fenêtres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Proportion de fenêtres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IF(Construction!$F$31=Construction!$R$22,Oeko!BQ564,Oeko!ED564)</f>
        <v>1</v>
      </c>
      <c r="E564" s="1998">
        <f>IF(Construction!$F$31=Construction!$R$22,Oeko!BR564,Oeko!EE564)</f>
        <v>1</v>
      </c>
      <c r="F564" s="1998">
        <f>IF(Construction!$F$31=Construction!$R$22,Oeko!BS564,Oeko!EF564)</f>
        <v>1</v>
      </c>
      <c r="G564" s="1998">
        <f>IF(Construction!$F$31=Construction!$R$22,Oeko!BT564,Oeko!EG564)</f>
        <v>1</v>
      </c>
      <c r="H564" s="1998">
        <f>IF(Construction!$F$31=Construction!$R$22,Oeko!BU564,Oeko!EH564)</f>
        <v>1</v>
      </c>
      <c r="I564" s="1979">
        <f>IF(Construction!$F$31=Construction!$R$22,Oeko!BV564,Oeko!EI564)</f>
        <v>1</v>
      </c>
      <c r="J564" s="1979">
        <f>IF(Construction!$F$31=Construction!$R$22,Oeko!BW564,Oeko!EJ564)</f>
        <v>1</v>
      </c>
      <c r="K564" s="1979">
        <f>IF(Construction!$F$31=Construction!$R$22,Oeko!BX564,Oeko!EK564)</f>
        <v>1</v>
      </c>
      <c r="L564" s="1979">
        <f>IF(Construction!$F$31=Construction!$R$22,Oeko!BY564,Oeko!EL564)</f>
        <v>1</v>
      </c>
      <c r="M564" s="1979">
        <f>IF(Construction!$F$31=Construction!$R$22,Oeko!BZ564,Oeko!EM564)</f>
        <v>1</v>
      </c>
      <c r="N564" s="1998">
        <f>IF(Construction!$F$31=Construction!$R$22,Oeko!CA564,Oeko!EN564)</f>
        <v>1.0000000000000002</v>
      </c>
      <c r="O564" s="1998">
        <f>IF(Construction!$F$31=Construction!$R$22,Oeko!CB564,Oeko!EO564)</f>
        <v>1.0000000000000002</v>
      </c>
      <c r="P564" s="1998">
        <f>IF(Construction!$F$31=Construction!$R$22,Oeko!CC564,Oeko!EP564)</f>
        <v>1.0000000000000002</v>
      </c>
      <c r="Q564" s="1998">
        <f>IF(Construction!$F$31=Construction!$R$22,Oeko!CD564,Oeko!EQ564)</f>
        <v>1.0000000000000002</v>
      </c>
      <c r="R564" s="1998">
        <f>IF(Construction!$F$31=Construction!$R$22,Oeko!CE564,Oeko!ER564)</f>
        <v>1.0000000000000002</v>
      </c>
      <c r="S564" s="1979">
        <f>IF(Construction!$F$31=Construction!$R$22,Oeko!CF564,Oeko!ES564)</f>
        <v>1</v>
      </c>
      <c r="T564" s="1979">
        <f>IF(Construction!$F$31=Construction!$R$22,Oeko!CG564,Oeko!ET564)</f>
        <v>1</v>
      </c>
      <c r="U564" s="1979">
        <f>IF(Construction!$F$31=Construction!$R$22,Oeko!CH564,Oeko!EU564)</f>
        <v>1</v>
      </c>
      <c r="V564" s="1979">
        <f>IF(Construction!$F$31=Construction!$R$22,Oeko!CI564,Oeko!EV564)</f>
        <v>1</v>
      </c>
      <c r="W564" s="1979">
        <f>IF(Construction!$F$31=Construction!$R$22,Oeko!CJ564,Oeko!EW564)</f>
        <v>1</v>
      </c>
      <c r="X564" s="1998">
        <f>IF(Construction!$F$31=Construction!$R$22,Oeko!CK564,Oeko!EX564)</f>
        <v>1</v>
      </c>
      <c r="Y564" s="1998">
        <f>IF(Construction!$F$31=Construction!$R$22,Oeko!CL564,Oeko!EY564)</f>
        <v>1</v>
      </c>
      <c r="Z564" s="1998">
        <f>IF(Construction!$F$31=Construction!$R$22,Oeko!CM564,Oeko!EZ564)</f>
        <v>1</v>
      </c>
      <c r="AA564" s="1998">
        <f>IF(Construction!$F$31=Construction!$R$22,Oeko!CN564,Oeko!FA564)</f>
        <v>1</v>
      </c>
      <c r="AB564" s="1998">
        <f>IF(Construction!$F$31=Construction!$R$22,Oeko!CO564,Oeko!FB564)</f>
        <v>1</v>
      </c>
      <c r="AC564" s="1979">
        <f>IF(Construction!$F$31=Construction!$R$22,Oeko!CP564,Oeko!FC564)</f>
        <v>1</v>
      </c>
      <c r="AD564" s="1979">
        <f>IF(Construction!$F$31=Construction!$R$22,Oeko!CQ564,Oeko!FD564)</f>
        <v>1</v>
      </c>
      <c r="AE564" s="1979">
        <f>IF(Construction!$F$31=Construction!$R$22,Oeko!CR564,Oeko!FE564)</f>
        <v>1</v>
      </c>
      <c r="AF564" s="1979">
        <f>IF(Construction!$F$31=Construction!$R$22,Oeko!CS564,Oeko!FF564)</f>
        <v>1</v>
      </c>
      <c r="AG564" s="1979">
        <f>IF(Construction!$F$31=Construction!$R$22,Oeko!CT564,Oeko!FG564)</f>
        <v>1</v>
      </c>
      <c r="AH564" s="1998">
        <f>IF(Construction!$F$31=Construction!$R$22,Oeko!CU564,Oeko!FH564)</f>
        <v>1</v>
      </c>
      <c r="AI564" s="1998">
        <f>IF(Construction!$F$31=Construction!$R$22,Oeko!CV564,Oeko!FI564)</f>
        <v>1</v>
      </c>
      <c r="AJ564" s="1998">
        <f>IF(Construction!$F$31=Construction!$R$22,Oeko!CW564,Oeko!FJ564)</f>
        <v>1</v>
      </c>
      <c r="AK564" s="1998">
        <f>IF(Construction!$F$31=Construction!$R$22,Oeko!CX564,Oeko!FK564)</f>
        <v>1</v>
      </c>
      <c r="AL564" s="1998">
        <f>IF(Construction!$F$31=Construction!$R$22,Oeko!CY564,Oeko!FL564)</f>
        <v>1</v>
      </c>
      <c r="AM564" s="1979">
        <f>IF(Construction!$F$31=Construction!$R$22,Oeko!CZ564,Oeko!FM564)</f>
        <v>0.66666666666666663</v>
      </c>
      <c r="AN564" s="1979">
        <f>IF(Construction!$F$31=Construction!$R$22,Oeko!DA564,Oeko!FN564)</f>
        <v>0.66666666666666663</v>
      </c>
      <c r="AO564" s="1979">
        <f>IF(Construction!$F$31=Construction!$R$22,Oeko!DB564,Oeko!FO564)</f>
        <v>0.66666666666666663</v>
      </c>
      <c r="AP564" s="1979">
        <f>IF(Construction!$F$31=Construction!$R$22,Oeko!DC564,Oeko!FP564)</f>
        <v>0.66666666666666663</v>
      </c>
      <c r="AQ564" s="1979">
        <f>IF(Construction!$F$31=Construction!$R$22,Oeko!DD564,Oeko!FQ564)</f>
        <v>0.66666666666666663</v>
      </c>
      <c r="AR564" s="1998">
        <f>IF(Construction!$F$31=Construction!$R$22,Oeko!DE564,Oeko!FR564)</f>
        <v>8.1914540462959007</v>
      </c>
      <c r="AS564" s="1998">
        <f>IF(Construction!$F$31=Construction!$R$22,Oeko!DF564,Oeko!FS564)</f>
        <v>8.1914540462959007</v>
      </c>
      <c r="AT564" s="1998">
        <f>IF(Construction!$F$31=Construction!$R$22,Oeko!DG564,Oeko!FT564)</f>
        <v>8.1914540462959007</v>
      </c>
      <c r="AU564" s="1998">
        <f>IF(Construction!$F$31=Construction!$R$22,Oeko!DH564,Oeko!FU564)</f>
        <v>8.1914540462959007</v>
      </c>
      <c r="AV564" s="1998">
        <f>IF(Construction!$F$31=Construction!$R$22,Oeko!DI564,Oeko!FV564)</f>
        <v>8.1914540462959007</v>
      </c>
      <c r="AW564" s="1979">
        <f>IF(Construction!$F$31=Construction!$R$22,Oeko!DJ564,Oeko!FW564)</f>
        <v>8.1771999062029916</v>
      </c>
      <c r="AX564" s="1979">
        <f>IF(Construction!$F$31=Construction!$R$22,Oeko!DK564,Oeko!FX564)</f>
        <v>8.1771999062029916</v>
      </c>
      <c r="AY564" s="1979">
        <f>IF(Construction!$F$31=Construction!$R$22,Oeko!DL564,Oeko!FY564)</f>
        <v>8.1771999062029916</v>
      </c>
      <c r="AZ564" s="1979">
        <f>IF(Construction!$F$31=Construction!$R$22,Oeko!DM564,Oeko!FZ564)</f>
        <v>8.1771999062029916</v>
      </c>
      <c r="BA564" s="1979">
        <f>IF(Construction!$F$31=Construction!$R$22,Oeko!DN564,Oeko!GA564)</f>
        <v>8.1771999062029916</v>
      </c>
      <c r="BB564" s="1998">
        <f>IF(Construction!$F$31=Construction!$R$22,Oeko!DO564,Oeko!GB564)</f>
        <v>1</v>
      </c>
      <c r="BC564" s="1998">
        <f>IF(Construction!$F$31=Construction!$R$22,Oeko!DP564,Oeko!GC564)</f>
        <v>1</v>
      </c>
      <c r="BD564" s="1998">
        <f>IF(Construction!$F$31=Construction!$R$22,Oeko!DQ564,Oeko!GD564)</f>
        <v>1</v>
      </c>
      <c r="BE564" s="1998">
        <f>IF(Construction!$F$31=Construction!$R$22,Oeko!DR564,Oeko!GE564)</f>
        <v>1</v>
      </c>
      <c r="BF564" s="1998">
        <f>IF(Construction!$F$31=Construction!$R$22,Oeko!DS564,Oeko!GF564)</f>
        <v>1</v>
      </c>
      <c r="BG564" s="1979">
        <f>IF(Construction!$F$31=Construction!$R$22,Oeko!DT564,Oeko!GG564)</f>
        <v>1</v>
      </c>
      <c r="BH564" s="1979">
        <f>IF(Construction!$F$31=Construction!$R$22,Oeko!DU564,Oeko!GH564)</f>
        <v>1</v>
      </c>
      <c r="BI564" s="1979">
        <f>IF(Construction!$F$31=Construction!$R$22,Oeko!DV564,Oeko!GI564)</f>
        <v>1</v>
      </c>
      <c r="BJ564" s="1979">
        <f>IF(Construction!$F$31=Construction!$R$22,Oeko!DW564,Oeko!GJ564)</f>
        <v>1</v>
      </c>
      <c r="BK564" s="2021">
        <f>IF(Construction!$F$31=Construction!$R$22,Oeko!DX564,Oeko!GK564)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IF(Construction!$F$31=Construction!$R$22,Oeko!BQ565,Oeko!ED565)</f>
        <v>1</v>
      </c>
      <c r="E565" s="1998">
        <f>IF(Construction!$F$31=Construction!$R$22,Oeko!BR565,Oeko!EE565)</f>
        <v>1</v>
      </c>
      <c r="F565" s="1998">
        <f>IF(Construction!$F$31=Construction!$R$22,Oeko!BS565,Oeko!EF565)</f>
        <v>1</v>
      </c>
      <c r="G565" s="1998">
        <f>IF(Construction!$F$31=Construction!$R$22,Oeko!BT565,Oeko!EG565)</f>
        <v>1</v>
      </c>
      <c r="H565" s="1998">
        <f>IF(Construction!$F$31=Construction!$R$22,Oeko!BU565,Oeko!EH565)</f>
        <v>1</v>
      </c>
      <c r="I565" s="1979">
        <f>IF(Construction!$F$31=Construction!$R$22,Oeko!BV565,Oeko!EI565)</f>
        <v>1</v>
      </c>
      <c r="J565" s="1979">
        <f>IF(Construction!$F$31=Construction!$R$22,Oeko!BW565,Oeko!EJ565)</f>
        <v>1</v>
      </c>
      <c r="K565" s="1979">
        <f>IF(Construction!$F$31=Construction!$R$22,Oeko!BX565,Oeko!EK565)</f>
        <v>1</v>
      </c>
      <c r="L565" s="1979">
        <f>IF(Construction!$F$31=Construction!$R$22,Oeko!BY565,Oeko!EL565)</f>
        <v>1</v>
      </c>
      <c r="M565" s="1979">
        <f>IF(Construction!$F$31=Construction!$R$22,Oeko!BZ565,Oeko!EM565)</f>
        <v>1</v>
      </c>
      <c r="N565" s="1998">
        <f>IF(Construction!$F$31=Construction!$R$22,Oeko!CA565,Oeko!EN565)</f>
        <v>1</v>
      </c>
      <c r="O565" s="1998">
        <f>IF(Construction!$F$31=Construction!$R$22,Oeko!CB565,Oeko!EO565)</f>
        <v>1</v>
      </c>
      <c r="P565" s="1998">
        <f>IF(Construction!$F$31=Construction!$R$22,Oeko!CC565,Oeko!EP565)</f>
        <v>1</v>
      </c>
      <c r="Q565" s="1998">
        <f>IF(Construction!$F$31=Construction!$R$22,Oeko!CD565,Oeko!EQ565)</f>
        <v>1</v>
      </c>
      <c r="R565" s="1998">
        <f>IF(Construction!$F$31=Construction!$R$22,Oeko!CE565,Oeko!ER565)</f>
        <v>1</v>
      </c>
      <c r="S565" s="1979">
        <f>IF(Construction!$F$31=Construction!$R$22,Oeko!CF565,Oeko!ES565)</f>
        <v>1.0000000000000002</v>
      </c>
      <c r="T565" s="1979">
        <f>IF(Construction!$F$31=Construction!$R$22,Oeko!CG565,Oeko!ET565)</f>
        <v>1.0000000000000002</v>
      </c>
      <c r="U565" s="1979">
        <f>IF(Construction!$F$31=Construction!$R$22,Oeko!CH565,Oeko!EU565)</f>
        <v>1.0000000000000002</v>
      </c>
      <c r="V565" s="1979">
        <f>IF(Construction!$F$31=Construction!$R$22,Oeko!CI565,Oeko!EV565)</f>
        <v>1.0000000000000002</v>
      </c>
      <c r="W565" s="1979">
        <f>IF(Construction!$F$31=Construction!$R$22,Oeko!CJ565,Oeko!EW565)</f>
        <v>1.0000000000000002</v>
      </c>
      <c r="X565" s="1998">
        <f>IF(Construction!$F$31=Construction!$R$22,Oeko!CK565,Oeko!EX565)</f>
        <v>1</v>
      </c>
      <c r="Y565" s="1998">
        <f>IF(Construction!$F$31=Construction!$R$22,Oeko!CL565,Oeko!EY565)</f>
        <v>1</v>
      </c>
      <c r="Z565" s="1998">
        <f>IF(Construction!$F$31=Construction!$R$22,Oeko!CM565,Oeko!EZ565)</f>
        <v>1</v>
      </c>
      <c r="AA565" s="1998">
        <f>IF(Construction!$F$31=Construction!$R$22,Oeko!CN565,Oeko!FA565)</f>
        <v>1</v>
      </c>
      <c r="AB565" s="1998">
        <f>IF(Construction!$F$31=Construction!$R$22,Oeko!CO565,Oeko!FB565)</f>
        <v>1</v>
      </c>
      <c r="AC565" s="1979">
        <f>IF(Construction!$F$31=Construction!$R$22,Oeko!CP565,Oeko!FC565)</f>
        <v>1</v>
      </c>
      <c r="AD565" s="1979">
        <f>IF(Construction!$F$31=Construction!$R$22,Oeko!CQ565,Oeko!FD565)</f>
        <v>1</v>
      </c>
      <c r="AE565" s="1979">
        <f>IF(Construction!$F$31=Construction!$R$22,Oeko!CR565,Oeko!FE565)</f>
        <v>1</v>
      </c>
      <c r="AF565" s="1979">
        <f>IF(Construction!$F$31=Construction!$R$22,Oeko!CS565,Oeko!FF565)</f>
        <v>1</v>
      </c>
      <c r="AG565" s="1979">
        <f>IF(Construction!$F$31=Construction!$R$22,Oeko!CT565,Oeko!FG565)</f>
        <v>1</v>
      </c>
      <c r="AH565" s="1998">
        <f>IF(Construction!$F$31=Construction!$R$22,Oeko!CU565,Oeko!FH565)</f>
        <v>1</v>
      </c>
      <c r="AI565" s="1998">
        <f>IF(Construction!$F$31=Construction!$R$22,Oeko!CV565,Oeko!FI565)</f>
        <v>1</v>
      </c>
      <c r="AJ565" s="1998">
        <f>IF(Construction!$F$31=Construction!$R$22,Oeko!CW565,Oeko!FJ565)</f>
        <v>1</v>
      </c>
      <c r="AK565" s="1998">
        <f>IF(Construction!$F$31=Construction!$R$22,Oeko!CX565,Oeko!FK565)</f>
        <v>1</v>
      </c>
      <c r="AL565" s="1998">
        <f>IF(Construction!$F$31=Construction!$R$22,Oeko!CY565,Oeko!FL565)</f>
        <v>1</v>
      </c>
      <c r="AM565" s="1979">
        <f>IF(Construction!$F$31=Construction!$R$22,Oeko!CZ565,Oeko!FM565)</f>
        <v>0.66666666666666663</v>
      </c>
      <c r="AN565" s="1979">
        <f>IF(Construction!$F$31=Construction!$R$22,Oeko!DA565,Oeko!FN565)</f>
        <v>0.66666666666666663</v>
      </c>
      <c r="AO565" s="1979">
        <f>IF(Construction!$F$31=Construction!$R$22,Oeko!DB565,Oeko!FO565)</f>
        <v>0.66666666666666663</v>
      </c>
      <c r="AP565" s="1979">
        <f>IF(Construction!$F$31=Construction!$R$22,Oeko!DC565,Oeko!FP565)</f>
        <v>0.66666666666666663</v>
      </c>
      <c r="AQ565" s="1979">
        <f>IF(Construction!$F$31=Construction!$R$22,Oeko!DD565,Oeko!FQ565)</f>
        <v>0.66666666666666663</v>
      </c>
      <c r="AR565" s="1998">
        <f>IF(Construction!$F$31=Construction!$R$22,Oeko!DE565,Oeko!FR565)</f>
        <v>6.393590534721926</v>
      </c>
      <c r="AS565" s="1998">
        <f>IF(Construction!$F$31=Construction!$R$22,Oeko!DF565,Oeko!FS565)</f>
        <v>6.393590534721926</v>
      </c>
      <c r="AT565" s="1998">
        <f>IF(Construction!$F$31=Construction!$R$22,Oeko!DG565,Oeko!FT565)</f>
        <v>6.393590534721926</v>
      </c>
      <c r="AU565" s="1998">
        <f>IF(Construction!$F$31=Construction!$R$22,Oeko!DH565,Oeko!FU565)</f>
        <v>6.393590534721926</v>
      </c>
      <c r="AV565" s="1998">
        <f>IF(Construction!$F$31=Construction!$R$22,Oeko!DI565,Oeko!FV565)</f>
        <v>6.393590534721926</v>
      </c>
      <c r="AW565" s="1979">
        <f>IF(Construction!$F$31=Construction!$R$22,Oeko!DJ565,Oeko!FW565)</f>
        <v>6.3828999296522442</v>
      </c>
      <c r="AX565" s="1979">
        <f>IF(Construction!$F$31=Construction!$R$22,Oeko!DK565,Oeko!FX565)</f>
        <v>6.3828999296522442</v>
      </c>
      <c r="AY565" s="1979">
        <f>IF(Construction!$F$31=Construction!$R$22,Oeko!DL565,Oeko!FY565)</f>
        <v>6.3828999296522442</v>
      </c>
      <c r="AZ565" s="1979">
        <f>IF(Construction!$F$31=Construction!$R$22,Oeko!DM565,Oeko!FZ565)</f>
        <v>6.3828999296522442</v>
      </c>
      <c r="BA565" s="1979">
        <f>IF(Construction!$F$31=Construction!$R$22,Oeko!DN565,Oeko!GA565)</f>
        <v>6.3828999296522442</v>
      </c>
      <c r="BB565" s="1998">
        <f>IF(Construction!$F$31=Construction!$R$22,Oeko!DO565,Oeko!GB565)</f>
        <v>0.78115301620803501</v>
      </c>
      <c r="BC565" s="1998">
        <f>IF(Construction!$F$31=Construction!$R$22,Oeko!DP565,Oeko!GC565)</f>
        <v>0.78115301620803501</v>
      </c>
      <c r="BD565" s="1998">
        <f>IF(Construction!$F$31=Construction!$R$22,Oeko!DQ565,Oeko!GD565)</f>
        <v>0.78115301620803501</v>
      </c>
      <c r="BE565" s="1998">
        <f>IF(Construction!$F$31=Construction!$R$22,Oeko!DR565,Oeko!GE565)</f>
        <v>0.78115301620803501</v>
      </c>
      <c r="BF565" s="1998">
        <f>IF(Construction!$F$31=Construction!$R$22,Oeko!DS565,Oeko!GF565)</f>
        <v>0.78115301620803501</v>
      </c>
      <c r="BG565" s="1979">
        <f>IF(Construction!$F$31=Construction!$R$22,Oeko!DT565,Oeko!GG565)</f>
        <v>0.78195889917775152</v>
      </c>
      <c r="BH565" s="1979">
        <f>IF(Construction!$F$31=Construction!$R$22,Oeko!DU565,Oeko!GH565)</f>
        <v>0.78195889917775152</v>
      </c>
      <c r="BI565" s="1979">
        <f>IF(Construction!$F$31=Construction!$R$22,Oeko!DV565,Oeko!GI565)</f>
        <v>0.78195889917775152</v>
      </c>
      <c r="BJ565" s="1979">
        <f>IF(Construction!$F$31=Construction!$R$22,Oeko!DW565,Oeko!GJ565)</f>
        <v>0.78195889917775152</v>
      </c>
      <c r="BK565" s="2021">
        <f>IF(Construction!$F$31=Construction!$R$22,Oeko!DX565,Oeko!GK565)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IF(Construction!$F$31=Construction!$R$22,Oeko!BQ566,Oeko!ED566)</f>
        <v>1</v>
      </c>
      <c r="E566" s="1998">
        <f>IF(Construction!$F$31=Construction!$R$22,Oeko!BR566,Oeko!EE566)</f>
        <v>1</v>
      </c>
      <c r="F566" s="1998">
        <f>IF(Construction!$F$31=Construction!$R$22,Oeko!BS566,Oeko!EF566)</f>
        <v>1</v>
      </c>
      <c r="G566" s="1998">
        <f>IF(Construction!$F$31=Construction!$R$22,Oeko!BT566,Oeko!EG566)</f>
        <v>1</v>
      </c>
      <c r="H566" s="1998">
        <f>IF(Construction!$F$31=Construction!$R$22,Oeko!BU566,Oeko!EH566)</f>
        <v>1</v>
      </c>
      <c r="I566" s="1979">
        <f>IF(Construction!$F$31=Construction!$R$22,Oeko!BV566,Oeko!EI566)</f>
        <v>1</v>
      </c>
      <c r="J566" s="1979">
        <f>IF(Construction!$F$31=Construction!$R$22,Oeko!BW566,Oeko!EJ566)</f>
        <v>1</v>
      </c>
      <c r="K566" s="1979">
        <f>IF(Construction!$F$31=Construction!$R$22,Oeko!BX566,Oeko!EK566)</f>
        <v>1</v>
      </c>
      <c r="L566" s="1979">
        <f>IF(Construction!$F$31=Construction!$R$22,Oeko!BY566,Oeko!EL566)</f>
        <v>1</v>
      </c>
      <c r="M566" s="1979">
        <f>IF(Construction!$F$31=Construction!$R$22,Oeko!BZ566,Oeko!EM566)</f>
        <v>1</v>
      </c>
      <c r="N566" s="1998">
        <f>IF(Construction!$F$31=Construction!$R$22,Oeko!CA566,Oeko!EN566)</f>
        <v>1</v>
      </c>
      <c r="O566" s="1998">
        <f>IF(Construction!$F$31=Construction!$R$22,Oeko!CB566,Oeko!EO566)</f>
        <v>1</v>
      </c>
      <c r="P566" s="1998">
        <f>IF(Construction!$F$31=Construction!$R$22,Oeko!CC566,Oeko!EP566)</f>
        <v>1</v>
      </c>
      <c r="Q566" s="1998">
        <f>IF(Construction!$F$31=Construction!$R$22,Oeko!CD566,Oeko!EQ566)</f>
        <v>1</v>
      </c>
      <c r="R566" s="1998">
        <f>IF(Construction!$F$31=Construction!$R$22,Oeko!CE566,Oeko!ER566)</f>
        <v>1</v>
      </c>
      <c r="S566" s="1979">
        <f>IF(Construction!$F$31=Construction!$R$22,Oeko!CF566,Oeko!ES566)</f>
        <v>1</v>
      </c>
      <c r="T566" s="1979">
        <f>IF(Construction!$F$31=Construction!$R$22,Oeko!CG566,Oeko!ET566)</f>
        <v>1</v>
      </c>
      <c r="U566" s="1979">
        <f>IF(Construction!$F$31=Construction!$R$22,Oeko!CH566,Oeko!EU566)</f>
        <v>1</v>
      </c>
      <c r="V566" s="1979">
        <f>IF(Construction!$F$31=Construction!$R$22,Oeko!CI566,Oeko!EV566)</f>
        <v>1</v>
      </c>
      <c r="W566" s="1979">
        <f>IF(Construction!$F$31=Construction!$R$22,Oeko!CJ566,Oeko!EW566)</f>
        <v>1</v>
      </c>
      <c r="X566" s="1998">
        <f>IF(Construction!$F$31=Construction!$R$22,Oeko!CK566,Oeko!EX566)</f>
        <v>1</v>
      </c>
      <c r="Y566" s="1998">
        <f>IF(Construction!$F$31=Construction!$R$22,Oeko!CL566,Oeko!EY566)</f>
        <v>1</v>
      </c>
      <c r="Z566" s="1998">
        <f>IF(Construction!$F$31=Construction!$R$22,Oeko!CM566,Oeko!EZ566)</f>
        <v>1</v>
      </c>
      <c r="AA566" s="1998">
        <f>IF(Construction!$F$31=Construction!$R$22,Oeko!CN566,Oeko!FA566)</f>
        <v>1</v>
      </c>
      <c r="AB566" s="1998">
        <f>IF(Construction!$F$31=Construction!$R$22,Oeko!CO566,Oeko!FB566)</f>
        <v>1</v>
      </c>
      <c r="AC566" s="1979">
        <f>IF(Construction!$F$31=Construction!$R$22,Oeko!CP566,Oeko!FC566)</f>
        <v>1</v>
      </c>
      <c r="AD566" s="1979">
        <f>IF(Construction!$F$31=Construction!$R$22,Oeko!CQ566,Oeko!FD566)</f>
        <v>1</v>
      </c>
      <c r="AE566" s="1979">
        <f>IF(Construction!$F$31=Construction!$R$22,Oeko!CR566,Oeko!FE566)</f>
        <v>1</v>
      </c>
      <c r="AF566" s="1979">
        <f>IF(Construction!$F$31=Construction!$R$22,Oeko!CS566,Oeko!FF566)</f>
        <v>1</v>
      </c>
      <c r="AG566" s="1979">
        <f>IF(Construction!$F$31=Construction!$R$22,Oeko!CT566,Oeko!FG566)</f>
        <v>1</v>
      </c>
      <c r="AH566" s="1998">
        <f>IF(Construction!$F$31=Construction!$R$22,Oeko!CU566,Oeko!FH566)</f>
        <v>1</v>
      </c>
      <c r="AI566" s="1998">
        <f>IF(Construction!$F$31=Construction!$R$22,Oeko!CV566,Oeko!FI566)</f>
        <v>1</v>
      </c>
      <c r="AJ566" s="1998">
        <f>IF(Construction!$F$31=Construction!$R$22,Oeko!CW566,Oeko!FJ566)</f>
        <v>1</v>
      </c>
      <c r="AK566" s="1998">
        <f>IF(Construction!$F$31=Construction!$R$22,Oeko!CX566,Oeko!FK566)</f>
        <v>1</v>
      </c>
      <c r="AL566" s="1998">
        <f>IF(Construction!$F$31=Construction!$R$22,Oeko!CY566,Oeko!FL566)</f>
        <v>1</v>
      </c>
      <c r="AM566" s="1979">
        <f>IF(Construction!$F$31=Construction!$R$22,Oeko!CZ566,Oeko!FM566)</f>
        <v>1</v>
      </c>
      <c r="AN566" s="1979">
        <f>IF(Construction!$F$31=Construction!$R$22,Oeko!DA566,Oeko!FN566)</f>
        <v>1</v>
      </c>
      <c r="AO566" s="1979">
        <f>IF(Construction!$F$31=Construction!$R$22,Oeko!DB566,Oeko!FO566)</f>
        <v>1</v>
      </c>
      <c r="AP566" s="1979">
        <f>IF(Construction!$F$31=Construction!$R$22,Oeko!DC566,Oeko!FP566)</f>
        <v>1</v>
      </c>
      <c r="AQ566" s="1979">
        <f>IF(Construction!$F$31=Construction!$R$22,Oeko!DD566,Oeko!FQ566)</f>
        <v>1</v>
      </c>
      <c r="AR566" s="1998">
        <f>IF(Construction!$F$31=Construction!$R$22,Oeko!DE566,Oeko!FR566)</f>
        <v>1</v>
      </c>
      <c r="AS566" s="1998">
        <f>IF(Construction!$F$31=Construction!$R$22,Oeko!DF566,Oeko!FS566)</f>
        <v>1</v>
      </c>
      <c r="AT566" s="1998">
        <f>IF(Construction!$F$31=Construction!$R$22,Oeko!DG566,Oeko!FT566)</f>
        <v>1</v>
      </c>
      <c r="AU566" s="1998">
        <f>IF(Construction!$F$31=Construction!$R$22,Oeko!DH566,Oeko!FU566)</f>
        <v>1</v>
      </c>
      <c r="AV566" s="1998">
        <f>IF(Construction!$F$31=Construction!$R$22,Oeko!DI566,Oeko!FV566)</f>
        <v>1</v>
      </c>
      <c r="AW566" s="1979">
        <f>IF(Construction!$F$31=Construction!$R$22,Oeko!DJ566,Oeko!FW566)</f>
        <v>1</v>
      </c>
      <c r="AX566" s="1979">
        <f>IF(Construction!$F$31=Construction!$R$22,Oeko!DK566,Oeko!FX566)</f>
        <v>1</v>
      </c>
      <c r="AY566" s="1979">
        <f>IF(Construction!$F$31=Construction!$R$22,Oeko!DL566,Oeko!FY566)</f>
        <v>1</v>
      </c>
      <c r="AZ566" s="1979">
        <f>IF(Construction!$F$31=Construction!$R$22,Oeko!DM566,Oeko!FZ566)</f>
        <v>1</v>
      </c>
      <c r="BA566" s="1979">
        <f>IF(Construction!$F$31=Construction!$R$22,Oeko!DN566,Oeko!GA566)</f>
        <v>1</v>
      </c>
      <c r="BB566" s="1998">
        <f>IF(Construction!$F$31=Construction!$R$22,Oeko!DO566,Oeko!GB566)</f>
        <v>0.12461206483213953</v>
      </c>
      <c r="BC566" s="1998">
        <f>IF(Construction!$F$31=Construction!$R$22,Oeko!DP566,Oeko!GC566)</f>
        <v>0.12461206483213953</v>
      </c>
      <c r="BD566" s="1998">
        <f>IF(Construction!$F$31=Construction!$R$22,Oeko!DQ566,Oeko!GD566)</f>
        <v>0.12461206483213953</v>
      </c>
      <c r="BE566" s="1998">
        <f>IF(Construction!$F$31=Construction!$R$22,Oeko!DR566,Oeko!GE566)</f>
        <v>0.12461206483213953</v>
      </c>
      <c r="BF566" s="1998">
        <f>IF(Construction!$F$31=Construction!$R$22,Oeko!DS566,Oeko!GF566)</f>
        <v>0.12461206483213953</v>
      </c>
      <c r="BG566" s="1979">
        <f>IF(Construction!$F$31=Construction!$R$22,Oeko!DT566,Oeko!GG566)</f>
        <v>0.12783559671100567</v>
      </c>
      <c r="BH566" s="1979">
        <f>IF(Construction!$F$31=Construction!$R$22,Oeko!DU566,Oeko!GH566)</f>
        <v>0.12783559671100567</v>
      </c>
      <c r="BI566" s="1979">
        <f>IF(Construction!$F$31=Construction!$R$22,Oeko!DV566,Oeko!GI566)</f>
        <v>0.12783559671100567</v>
      </c>
      <c r="BJ566" s="1979">
        <f>IF(Construction!$F$31=Construction!$R$22,Oeko!DW566,Oeko!GJ566)</f>
        <v>0.12783559671100567</v>
      </c>
      <c r="BK566" s="2021">
        <f>IF(Construction!$F$31=Construction!$R$22,Oeko!DX566,Oeko!GK566)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IF(Construction!$F$31=Construction!$R$22,Oeko!BQ567,Oeko!ED567)</f>
        <v>1</v>
      </c>
      <c r="E567" s="1998">
        <f>IF(Construction!$F$31=Construction!$R$22,Oeko!BR567,Oeko!EE567)</f>
        <v>1</v>
      </c>
      <c r="F567" s="1998">
        <f>IF(Construction!$F$31=Construction!$R$22,Oeko!BS567,Oeko!EF567)</f>
        <v>1</v>
      </c>
      <c r="G567" s="1998">
        <f>IF(Construction!$F$31=Construction!$R$22,Oeko!BT567,Oeko!EG567)</f>
        <v>1</v>
      </c>
      <c r="H567" s="1998">
        <f>IF(Construction!$F$31=Construction!$R$22,Oeko!BU567,Oeko!EH567)</f>
        <v>1</v>
      </c>
      <c r="I567" s="1979">
        <f>IF(Construction!$F$31=Construction!$R$22,Oeko!BV567,Oeko!EI567)</f>
        <v>1</v>
      </c>
      <c r="J567" s="1979">
        <f>IF(Construction!$F$31=Construction!$R$22,Oeko!BW567,Oeko!EJ567)</f>
        <v>1</v>
      </c>
      <c r="K567" s="1979">
        <f>IF(Construction!$F$31=Construction!$R$22,Oeko!BX567,Oeko!EK567)</f>
        <v>1</v>
      </c>
      <c r="L567" s="1979">
        <f>IF(Construction!$F$31=Construction!$R$22,Oeko!BY567,Oeko!EL567)</f>
        <v>1</v>
      </c>
      <c r="M567" s="1979">
        <f>IF(Construction!$F$31=Construction!$R$22,Oeko!BZ567,Oeko!EM567)</f>
        <v>1</v>
      </c>
      <c r="N567" s="1998">
        <f>IF(Construction!$F$31=Construction!$R$22,Oeko!CA567,Oeko!EN567)</f>
        <v>1</v>
      </c>
      <c r="O567" s="1998">
        <f>IF(Construction!$F$31=Construction!$R$22,Oeko!CB567,Oeko!EO567)</f>
        <v>1</v>
      </c>
      <c r="P567" s="1998">
        <f>IF(Construction!$F$31=Construction!$R$22,Oeko!CC567,Oeko!EP567)</f>
        <v>1</v>
      </c>
      <c r="Q567" s="1998">
        <f>IF(Construction!$F$31=Construction!$R$22,Oeko!CD567,Oeko!EQ567)</f>
        <v>1</v>
      </c>
      <c r="R567" s="1998">
        <f>IF(Construction!$F$31=Construction!$R$22,Oeko!CE567,Oeko!ER567)</f>
        <v>1</v>
      </c>
      <c r="S567" s="1979">
        <f>IF(Construction!$F$31=Construction!$R$22,Oeko!CF567,Oeko!ES567)</f>
        <v>1</v>
      </c>
      <c r="T567" s="1979">
        <f>IF(Construction!$F$31=Construction!$R$22,Oeko!CG567,Oeko!ET567)</f>
        <v>1</v>
      </c>
      <c r="U567" s="1979">
        <f>IF(Construction!$F$31=Construction!$R$22,Oeko!CH567,Oeko!EU567)</f>
        <v>1</v>
      </c>
      <c r="V567" s="1979">
        <f>IF(Construction!$F$31=Construction!$R$22,Oeko!CI567,Oeko!EV567)</f>
        <v>1</v>
      </c>
      <c r="W567" s="1979">
        <f>IF(Construction!$F$31=Construction!$R$22,Oeko!CJ567,Oeko!EW567)</f>
        <v>1</v>
      </c>
      <c r="X567" s="1998">
        <f>IF(Construction!$F$31=Construction!$R$22,Oeko!CK567,Oeko!EX567)</f>
        <v>1</v>
      </c>
      <c r="Y567" s="1998">
        <f>IF(Construction!$F$31=Construction!$R$22,Oeko!CL567,Oeko!EY567)</f>
        <v>1</v>
      </c>
      <c r="Z567" s="1998">
        <f>IF(Construction!$F$31=Construction!$R$22,Oeko!CM567,Oeko!EZ567)</f>
        <v>1</v>
      </c>
      <c r="AA567" s="1998">
        <f>IF(Construction!$F$31=Construction!$R$22,Oeko!CN567,Oeko!FA567)</f>
        <v>1</v>
      </c>
      <c r="AB567" s="1998">
        <f>IF(Construction!$F$31=Construction!$R$22,Oeko!CO567,Oeko!FB567)</f>
        <v>1</v>
      </c>
      <c r="AC567" s="1979">
        <f>IF(Construction!$F$31=Construction!$R$22,Oeko!CP567,Oeko!FC567)</f>
        <v>1</v>
      </c>
      <c r="AD567" s="1979">
        <f>IF(Construction!$F$31=Construction!$R$22,Oeko!CQ567,Oeko!FD567)</f>
        <v>1</v>
      </c>
      <c r="AE567" s="1979">
        <f>IF(Construction!$F$31=Construction!$R$22,Oeko!CR567,Oeko!FE567)</f>
        <v>1</v>
      </c>
      <c r="AF567" s="1979">
        <f>IF(Construction!$F$31=Construction!$R$22,Oeko!CS567,Oeko!FF567)</f>
        <v>1</v>
      </c>
      <c r="AG567" s="1979">
        <f>IF(Construction!$F$31=Construction!$R$22,Oeko!CT567,Oeko!FG567)</f>
        <v>1</v>
      </c>
      <c r="AH567" s="1998">
        <f>IF(Construction!$F$31=Construction!$R$22,Oeko!CU567,Oeko!FH567)</f>
        <v>1</v>
      </c>
      <c r="AI567" s="1998">
        <f>IF(Construction!$F$31=Construction!$R$22,Oeko!CV567,Oeko!FI567)</f>
        <v>1</v>
      </c>
      <c r="AJ567" s="1998">
        <f>IF(Construction!$F$31=Construction!$R$22,Oeko!CW567,Oeko!FJ567)</f>
        <v>1</v>
      </c>
      <c r="AK567" s="1998">
        <f>IF(Construction!$F$31=Construction!$R$22,Oeko!CX567,Oeko!FK567)</f>
        <v>1</v>
      </c>
      <c r="AL567" s="1998">
        <f>IF(Construction!$F$31=Construction!$R$22,Oeko!CY567,Oeko!FL567)</f>
        <v>1</v>
      </c>
      <c r="AM567" s="1979">
        <f>IF(Construction!$F$31=Construction!$R$22,Oeko!CZ567,Oeko!FM567)</f>
        <v>1.1666666666666665</v>
      </c>
      <c r="AN567" s="1979">
        <f>IF(Construction!$F$31=Construction!$R$22,Oeko!DA567,Oeko!FN567)</f>
        <v>1.1666666666666665</v>
      </c>
      <c r="AO567" s="1979">
        <f>IF(Construction!$F$31=Construction!$R$22,Oeko!DB567,Oeko!FO567)</f>
        <v>1.1666666666666665</v>
      </c>
      <c r="AP567" s="1979">
        <f>IF(Construction!$F$31=Construction!$R$22,Oeko!DC567,Oeko!FP567)</f>
        <v>1.1666666666666665</v>
      </c>
      <c r="AQ567" s="1979">
        <f>IF(Construction!$F$31=Construction!$R$22,Oeko!DD567,Oeko!FQ567)</f>
        <v>1.1666666666666665</v>
      </c>
      <c r="AR567" s="1998">
        <f>IF(Construction!$F$31=Construction!$R$22,Oeko!DE567,Oeko!FR567)</f>
        <v>1</v>
      </c>
      <c r="AS567" s="1998">
        <f>IF(Construction!$F$31=Construction!$R$22,Oeko!DF567,Oeko!FS567)</f>
        <v>1</v>
      </c>
      <c r="AT567" s="1998">
        <f>IF(Construction!$F$31=Construction!$R$22,Oeko!DG567,Oeko!FT567)</f>
        <v>1</v>
      </c>
      <c r="AU567" s="1998">
        <f>IF(Construction!$F$31=Construction!$R$22,Oeko!DH567,Oeko!FU567)</f>
        <v>1</v>
      </c>
      <c r="AV567" s="1998">
        <f>IF(Construction!$F$31=Construction!$R$22,Oeko!DI567,Oeko!FV567)</f>
        <v>1</v>
      </c>
      <c r="AW567" s="1979">
        <f>IF(Construction!$F$31=Construction!$R$22,Oeko!DJ567,Oeko!FW567)</f>
        <v>1</v>
      </c>
      <c r="AX567" s="1979">
        <f>IF(Construction!$F$31=Construction!$R$22,Oeko!DK567,Oeko!FX567)</f>
        <v>1</v>
      </c>
      <c r="AY567" s="1979">
        <f>IF(Construction!$F$31=Construction!$R$22,Oeko!DL567,Oeko!FY567)</f>
        <v>1</v>
      </c>
      <c r="AZ567" s="1979">
        <f>IF(Construction!$F$31=Construction!$R$22,Oeko!DM567,Oeko!FZ567)</f>
        <v>1</v>
      </c>
      <c r="BA567" s="1979">
        <f>IF(Construction!$F$31=Construction!$R$22,Oeko!DN567,Oeko!GA567)</f>
        <v>1</v>
      </c>
      <c r="BB567" s="1998">
        <f>IF(Construction!$F$31=Construction!$R$22,Oeko!DO567,Oeko!GB567)</f>
        <v>0.12461206483213953</v>
      </c>
      <c r="BC567" s="1998">
        <f>IF(Construction!$F$31=Construction!$R$22,Oeko!DP567,Oeko!GC567)</f>
        <v>0.12461206483213953</v>
      </c>
      <c r="BD567" s="1998">
        <f>IF(Construction!$F$31=Construction!$R$22,Oeko!DQ567,Oeko!GD567)</f>
        <v>0.12461206483213953</v>
      </c>
      <c r="BE567" s="1998">
        <f>IF(Construction!$F$31=Construction!$R$22,Oeko!DR567,Oeko!GE567)</f>
        <v>0.12461206483213953</v>
      </c>
      <c r="BF567" s="1998">
        <f>IF(Construction!$F$31=Construction!$R$22,Oeko!DS567,Oeko!GF567)</f>
        <v>0.12461206483213953</v>
      </c>
      <c r="BG567" s="1979">
        <f>IF(Construction!$F$31=Construction!$R$22,Oeko!DT567,Oeko!GG567)</f>
        <v>0.12783559671100567</v>
      </c>
      <c r="BH567" s="1979">
        <f>IF(Construction!$F$31=Construction!$R$22,Oeko!DU567,Oeko!GH567)</f>
        <v>0.12783559671100567</v>
      </c>
      <c r="BI567" s="1979">
        <f>IF(Construction!$F$31=Construction!$R$22,Oeko!DV567,Oeko!GI567)</f>
        <v>0.12783559671100567</v>
      </c>
      <c r="BJ567" s="1979">
        <f>IF(Construction!$F$31=Construction!$R$22,Oeko!DW567,Oeko!GJ567)</f>
        <v>0.12783559671100567</v>
      </c>
      <c r="BK567" s="2021">
        <f>IF(Construction!$F$31=Construction!$R$22,Oeko!DX567,Oeko!GK567)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IF(Construction!$F$31=Construction!$R$22,Oeko!BQ568,Oeko!ED568)</f>
        <v>1.3333333333333333</v>
      </c>
      <c r="E568" s="1998">
        <f>IF(Construction!$F$31=Construction!$R$22,Oeko!BR568,Oeko!EE568)</f>
        <v>1.3333333333333333</v>
      </c>
      <c r="F568" s="1998">
        <f>IF(Construction!$F$31=Construction!$R$22,Oeko!BS568,Oeko!EF568)</f>
        <v>1.3333333333333333</v>
      </c>
      <c r="G568" s="1998">
        <f>IF(Construction!$F$31=Construction!$R$22,Oeko!BT568,Oeko!EG568)</f>
        <v>1.3333333333333333</v>
      </c>
      <c r="H568" s="1998">
        <f>IF(Construction!$F$31=Construction!$R$22,Oeko!BU568,Oeko!EH568)</f>
        <v>1.3333333333333333</v>
      </c>
      <c r="I568" s="1979">
        <f>IF(Construction!$F$31=Construction!$R$22,Oeko!BV568,Oeko!EI568)</f>
        <v>1</v>
      </c>
      <c r="J568" s="1979">
        <f>IF(Construction!$F$31=Construction!$R$22,Oeko!BW568,Oeko!EJ568)</f>
        <v>1</v>
      </c>
      <c r="K568" s="1979">
        <f>IF(Construction!$F$31=Construction!$R$22,Oeko!BX568,Oeko!EK568)</f>
        <v>1</v>
      </c>
      <c r="L568" s="1979">
        <f>IF(Construction!$F$31=Construction!$R$22,Oeko!BY568,Oeko!EL568)</f>
        <v>1</v>
      </c>
      <c r="M568" s="1979">
        <f>IF(Construction!$F$31=Construction!$R$22,Oeko!BZ568,Oeko!EM568)</f>
        <v>1</v>
      </c>
      <c r="N568" s="1998">
        <f>IF(Construction!$F$31=Construction!$R$22,Oeko!CA568,Oeko!EN568)</f>
        <v>1</v>
      </c>
      <c r="O568" s="1998">
        <f>IF(Construction!$F$31=Construction!$R$22,Oeko!CB568,Oeko!EO568)</f>
        <v>1</v>
      </c>
      <c r="P568" s="1998">
        <f>IF(Construction!$F$31=Construction!$R$22,Oeko!CC568,Oeko!EP568)</f>
        <v>1</v>
      </c>
      <c r="Q568" s="1998">
        <f>IF(Construction!$F$31=Construction!$R$22,Oeko!CD568,Oeko!EQ568)</f>
        <v>1</v>
      </c>
      <c r="R568" s="1998">
        <f>IF(Construction!$F$31=Construction!$R$22,Oeko!CE568,Oeko!ER568)</f>
        <v>1</v>
      </c>
      <c r="S568" s="1979">
        <f>IF(Construction!$F$31=Construction!$R$22,Oeko!CF568,Oeko!ES568)</f>
        <v>1</v>
      </c>
      <c r="T568" s="1979">
        <f>IF(Construction!$F$31=Construction!$R$22,Oeko!CG568,Oeko!ET568)</f>
        <v>1</v>
      </c>
      <c r="U568" s="1979">
        <f>IF(Construction!$F$31=Construction!$R$22,Oeko!CH568,Oeko!EU568)</f>
        <v>1</v>
      </c>
      <c r="V568" s="1979">
        <f>IF(Construction!$F$31=Construction!$R$22,Oeko!CI568,Oeko!EV568)</f>
        <v>1</v>
      </c>
      <c r="W568" s="1979">
        <f>IF(Construction!$F$31=Construction!$R$22,Oeko!CJ568,Oeko!EW568)</f>
        <v>1</v>
      </c>
      <c r="X568" s="1998">
        <f>IF(Construction!$F$31=Construction!$R$22,Oeko!CK568,Oeko!EX568)</f>
        <v>1</v>
      </c>
      <c r="Y568" s="1998">
        <f>IF(Construction!$F$31=Construction!$R$22,Oeko!CL568,Oeko!EY568)</f>
        <v>1</v>
      </c>
      <c r="Z568" s="1998">
        <f>IF(Construction!$F$31=Construction!$R$22,Oeko!CM568,Oeko!EZ568)</f>
        <v>1</v>
      </c>
      <c r="AA568" s="1998">
        <f>IF(Construction!$F$31=Construction!$R$22,Oeko!CN568,Oeko!FA568)</f>
        <v>1</v>
      </c>
      <c r="AB568" s="1998">
        <f>IF(Construction!$F$31=Construction!$R$22,Oeko!CO568,Oeko!FB568)</f>
        <v>1</v>
      </c>
      <c r="AC568" s="1979">
        <f>IF(Construction!$F$31=Construction!$R$22,Oeko!CP568,Oeko!FC568)</f>
        <v>1</v>
      </c>
      <c r="AD568" s="1979">
        <f>IF(Construction!$F$31=Construction!$R$22,Oeko!CQ568,Oeko!FD568)</f>
        <v>1</v>
      </c>
      <c r="AE568" s="1979">
        <f>IF(Construction!$F$31=Construction!$R$22,Oeko!CR568,Oeko!FE568)</f>
        <v>1</v>
      </c>
      <c r="AF568" s="1979">
        <f>IF(Construction!$F$31=Construction!$R$22,Oeko!CS568,Oeko!FF568)</f>
        <v>1</v>
      </c>
      <c r="AG568" s="1979">
        <f>IF(Construction!$F$31=Construction!$R$22,Oeko!CT568,Oeko!FG568)</f>
        <v>1</v>
      </c>
      <c r="AH568" s="1998">
        <f>IF(Construction!$F$31=Construction!$R$22,Oeko!CU568,Oeko!FH568)</f>
        <v>1</v>
      </c>
      <c r="AI568" s="1998">
        <f>IF(Construction!$F$31=Construction!$R$22,Oeko!CV568,Oeko!FI568)</f>
        <v>1</v>
      </c>
      <c r="AJ568" s="1998">
        <f>IF(Construction!$F$31=Construction!$R$22,Oeko!CW568,Oeko!FJ568)</f>
        <v>1</v>
      </c>
      <c r="AK568" s="1998">
        <f>IF(Construction!$F$31=Construction!$R$22,Oeko!CX568,Oeko!FK568)</f>
        <v>1</v>
      </c>
      <c r="AL568" s="1998">
        <f>IF(Construction!$F$31=Construction!$R$22,Oeko!CY568,Oeko!FL568)</f>
        <v>1</v>
      </c>
      <c r="AM568" s="1979">
        <f>IF(Construction!$F$31=Construction!$R$22,Oeko!CZ568,Oeko!FM568)</f>
        <v>1.3333333333333333</v>
      </c>
      <c r="AN568" s="1979">
        <f>IF(Construction!$F$31=Construction!$R$22,Oeko!DA568,Oeko!FN568)</f>
        <v>1.3333333333333333</v>
      </c>
      <c r="AO568" s="1979">
        <f>IF(Construction!$F$31=Construction!$R$22,Oeko!DB568,Oeko!FO568)</f>
        <v>1.3333333333333333</v>
      </c>
      <c r="AP568" s="1979">
        <f>IF(Construction!$F$31=Construction!$R$22,Oeko!DC568,Oeko!FP568)</f>
        <v>1.3333333333333333</v>
      </c>
      <c r="AQ568" s="1979">
        <f>IF(Construction!$F$31=Construction!$R$22,Oeko!DD568,Oeko!FQ568)</f>
        <v>1.3333333333333333</v>
      </c>
      <c r="AR568" s="1998">
        <f>IF(Construction!$F$31=Construction!$R$22,Oeko!DE568,Oeko!FR568)</f>
        <v>1</v>
      </c>
      <c r="AS568" s="1998">
        <f>IF(Construction!$F$31=Construction!$R$22,Oeko!DF568,Oeko!FS568)</f>
        <v>1</v>
      </c>
      <c r="AT568" s="1998">
        <f>IF(Construction!$F$31=Construction!$R$22,Oeko!DG568,Oeko!FT568)</f>
        <v>1</v>
      </c>
      <c r="AU568" s="1998">
        <f>IF(Construction!$F$31=Construction!$R$22,Oeko!DH568,Oeko!FU568)</f>
        <v>1</v>
      </c>
      <c r="AV568" s="1998">
        <f>IF(Construction!$F$31=Construction!$R$22,Oeko!DI568,Oeko!FV568)</f>
        <v>1</v>
      </c>
      <c r="AW568" s="1979">
        <f>IF(Construction!$F$31=Construction!$R$22,Oeko!DJ568,Oeko!FW568)</f>
        <v>1</v>
      </c>
      <c r="AX568" s="1979">
        <f>IF(Construction!$F$31=Construction!$R$22,Oeko!DK568,Oeko!FX568)</f>
        <v>1</v>
      </c>
      <c r="AY568" s="1979">
        <f>IF(Construction!$F$31=Construction!$R$22,Oeko!DL568,Oeko!FY568)</f>
        <v>1</v>
      </c>
      <c r="AZ568" s="1979">
        <f>IF(Construction!$F$31=Construction!$R$22,Oeko!DM568,Oeko!FZ568)</f>
        <v>1</v>
      </c>
      <c r="BA568" s="1979">
        <f>IF(Construction!$F$31=Construction!$R$22,Oeko!DN568,Oeko!GA568)</f>
        <v>1</v>
      </c>
      <c r="BB568" s="1998">
        <f>IF(Construction!$F$31=Construction!$R$22,Oeko!DO568,Oeko!GB568)</f>
        <v>0.12461206483213953</v>
      </c>
      <c r="BC568" s="1998">
        <f>IF(Construction!$F$31=Construction!$R$22,Oeko!DP568,Oeko!GC568)</f>
        <v>0.12461206483213953</v>
      </c>
      <c r="BD568" s="1998">
        <f>IF(Construction!$F$31=Construction!$R$22,Oeko!DQ568,Oeko!GD568)</f>
        <v>0.12461206483213953</v>
      </c>
      <c r="BE568" s="1998">
        <f>IF(Construction!$F$31=Construction!$R$22,Oeko!DR568,Oeko!GE568)</f>
        <v>0.12461206483213953</v>
      </c>
      <c r="BF568" s="1998">
        <f>IF(Construction!$F$31=Construction!$R$22,Oeko!DS568,Oeko!GF568)</f>
        <v>0.12461206483213953</v>
      </c>
      <c r="BG568" s="1979">
        <f>IF(Construction!$F$31=Construction!$R$22,Oeko!DT568,Oeko!GG568)</f>
        <v>0.12783559671100567</v>
      </c>
      <c r="BH568" s="1979">
        <f>IF(Construction!$F$31=Construction!$R$22,Oeko!DU568,Oeko!GH568)</f>
        <v>0.12783559671100567</v>
      </c>
      <c r="BI568" s="1979">
        <f>IF(Construction!$F$31=Construction!$R$22,Oeko!DV568,Oeko!GI568)</f>
        <v>0.12783559671100567</v>
      </c>
      <c r="BJ568" s="1979">
        <f>IF(Construction!$F$31=Construction!$R$22,Oeko!DW568,Oeko!GJ568)</f>
        <v>0.12783559671100567</v>
      </c>
      <c r="BK568" s="2021">
        <f>IF(Construction!$F$31=Construction!$R$22,Oeko!DX568,Oeko!GK568)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Fondation superficielle</v>
      </c>
      <c r="D569" s="1998">
        <f>IF(Construction!$F$31=Construction!$R$22,Oeko!BQ569,Oeko!ED569)</f>
        <v>1</v>
      </c>
      <c r="E569" s="1998">
        <f>IF(Construction!$F$31=Construction!$R$22,Oeko!BR569,Oeko!EE569)</f>
        <v>1</v>
      </c>
      <c r="F569" s="1998">
        <f>IF(Construction!$F$31=Construction!$R$22,Oeko!BS569,Oeko!EF569)</f>
        <v>1</v>
      </c>
      <c r="G569" s="1998">
        <f>IF(Construction!$F$31=Construction!$R$22,Oeko!BT569,Oeko!EG569)</f>
        <v>1</v>
      </c>
      <c r="H569" s="1998">
        <f>IF(Construction!$F$31=Construction!$R$22,Oeko!BU569,Oeko!EH569)</f>
        <v>1</v>
      </c>
      <c r="I569" s="1979">
        <f>IF(Construction!$F$31=Construction!$R$22,Oeko!BV569,Oeko!EI569)</f>
        <v>1</v>
      </c>
      <c r="J569" s="1979">
        <f>IF(Construction!$F$31=Construction!$R$22,Oeko!BW569,Oeko!EJ569)</f>
        <v>1</v>
      </c>
      <c r="K569" s="1979">
        <f>IF(Construction!$F$31=Construction!$R$22,Oeko!BX569,Oeko!EK569)</f>
        <v>1</v>
      </c>
      <c r="L569" s="1979">
        <f>IF(Construction!$F$31=Construction!$R$22,Oeko!BY569,Oeko!EL569)</f>
        <v>1</v>
      </c>
      <c r="M569" s="1979">
        <f>IF(Construction!$F$31=Construction!$R$22,Oeko!BZ569,Oeko!EM569)</f>
        <v>1</v>
      </c>
      <c r="N569" s="1998">
        <f>IF(Construction!$F$31=Construction!$R$22,Oeko!CA569,Oeko!EN569)</f>
        <v>1</v>
      </c>
      <c r="O569" s="1998">
        <f>IF(Construction!$F$31=Construction!$R$22,Oeko!CB569,Oeko!EO569)</f>
        <v>1</v>
      </c>
      <c r="P569" s="1998">
        <f>IF(Construction!$F$31=Construction!$R$22,Oeko!CC569,Oeko!EP569)</f>
        <v>1</v>
      </c>
      <c r="Q569" s="1998">
        <f>IF(Construction!$F$31=Construction!$R$22,Oeko!CD569,Oeko!EQ569)</f>
        <v>1</v>
      </c>
      <c r="R569" s="1998">
        <f>IF(Construction!$F$31=Construction!$R$22,Oeko!CE569,Oeko!ER569)</f>
        <v>1</v>
      </c>
      <c r="S569" s="1979">
        <f>IF(Construction!$F$31=Construction!$R$22,Oeko!CF569,Oeko!ES569)</f>
        <v>1</v>
      </c>
      <c r="T569" s="1979">
        <f>IF(Construction!$F$31=Construction!$R$22,Oeko!CG569,Oeko!ET569)</f>
        <v>1</v>
      </c>
      <c r="U569" s="1979">
        <f>IF(Construction!$F$31=Construction!$R$22,Oeko!CH569,Oeko!EU569)</f>
        <v>1</v>
      </c>
      <c r="V569" s="1979">
        <f>IF(Construction!$F$31=Construction!$R$22,Oeko!CI569,Oeko!EV569)</f>
        <v>1</v>
      </c>
      <c r="W569" s="1979">
        <f>IF(Construction!$F$31=Construction!$R$22,Oeko!CJ569,Oeko!EW569)</f>
        <v>1</v>
      </c>
      <c r="X569" s="1998">
        <f>IF(Construction!$F$31=Construction!$R$22,Oeko!CK569,Oeko!EX569)</f>
        <v>1</v>
      </c>
      <c r="Y569" s="1998">
        <f>IF(Construction!$F$31=Construction!$R$22,Oeko!CL569,Oeko!EY569)</f>
        <v>1</v>
      </c>
      <c r="Z569" s="1998">
        <f>IF(Construction!$F$31=Construction!$R$22,Oeko!CM569,Oeko!EZ569)</f>
        <v>1</v>
      </c>
      <c r="AA569" s="1998">
        <f>IF(Construction!$F$31=Construction!$R$22,Oeko!CN569,Oeko!FA569)</f>
        <v>1</v>
      </c>
      <c r="AB569" s="1998">
        <f>IF(Construction!$F$31=Construction!$R$22,Oeko!CO569,Oeko!FB569)</f>
        <v>1</v>
      </c>
      <c r="AC569" s="1979">
        <f>IF(Construction!$F$31=Construction!$R$22,Oeko!CP569,Oeko!FC569)</f>
        <v>1</v>
      </c>
      <c r="AD569" s="1979">
        <f>IF(Construction!$F$31=Construction!$R$22,Oeko!CQ569,Oeko!FD569)</f>
        <v>1</v>
      </c>
      <c r="AE569" s="1979">
        <f>IF(Construction!$F$31=Construction!$R$22,Oeko!CR569,Oeko!FE569)</f>
        <v>1</v>
      </c>
      <c r="AF569" s="1979">
        <f>IF(Construction!$F$31=Construction!$R$22,Oeko!CS569,Oeko!FF569)</f>
        <v>1</v>
      </c>
      <c r="AG569" s="1979">
        <f>IF(Construction!$F$31=Construction!$R$22,Oeko!CT569,Oeko!FG569)</f>
        <v>1</v>
      </c>
      <c r="AH569" s="1998">
        <f>IF(Construction!$F$31=Construction!$R$22,Oeko!CU569,Oeko!FH569)</f>
        <v>1</v>
      </c>
      <c r="AI569" s="1998">
        <f>IF(Construction!$F$31=Construction!$R$22,Oeko!CV569,Oeko!FI569)</f>
        <v>1</v>
      </c>
      <c r="AJ569" s="1998">
        <f>IF(Construction!$F$31=Construction!$R$22,Oeko!CW569,Oeko!FJ569)</f>
        <v>1</v>
      </c>
      <c r="AK569" s="1998">
        <f>IF(Construction!$F$31=Construction!$R$22,Oeko!CX569,Oeko!FK569)</f>
        <v>1</v>
      </c>
      <c r="AL569" s="1998">
        <f>IF(Construction!$F$31=Construction!$R$22,Oeko!CY569,Oeko!FL569)</f>
        <v>1</v>
      </c>
      <c r="AM569" s="1979">
        <f>IF(Construction!$F$31=Construction!$R$22,Oeko!CZ569,Oeko!FM569)</f>
        <v>1</v>
      </c>
      <c r="AN569" s="1979">
        <f>IF(Construction!$F$31=Construction!$R$22,Oeko!DA569,Oeko!FN569)</f>
        <v>1</v>
      </c>
      <c r="AO569" s="1979">
        <f>IF(Construction!$F$31=Construction!$R$22,Oeko!DB569,Oeko!FO569)</f>
        <v>1</v>
      </c>
      <c r="AP569" s="1979">
        <f>IF(Construction!$F$31=Construction!$R$22,Oeko!DC569,Oeko!FP569)</f>
        <v>1</v>
      </c>
      <c r="AQ569" s="1979">
        <f>IF(Construction!$F$31=Construction!$R$22,Oeko!DD569,Oeko!FQ569)</f>
        <v>1</v>
      </c>
      <c r="AR569" s="1998">
        <f>IF(Construction!$F$31=Construction!$R$22,Oeko!DE569,Oeko!FR569)</f>
        <v>1</v>
      </c>
      <c r="AS569" s="1998">
        <f>IF(Construction!$F$31=Construction!$R$22,Oeko!DF569,Oeko!FS569)</f>
        <v>1</v>
      </c>
      <c r="AT569" s="1998">
        <f>IF(Construction!$F$31=Construction!$R$22,Oeko!DG569,Oeko!FT569)</f>
        <v>1</v>
      </c>
      <c r="AU569" s="1998">
        <f>IF(Construction!$F$31=Construction!$R$22,Oeko!DH569,Oeko!FU569)</f>
        <v>1</v>
      </c>
      <c r="AV569" s="1998">
        <f>IF(Construction!$F$31=Construction!$R$22,Oeko!DI569,Oeko!FV569)</f>
        <v>1</v>
      </c>
      <c r="AW569" s="1979">
        <f>IF(Construction!$F$31=Construction!$R$22,Oeko!DJ569,Oeko!FW569)</f>
        <v>1</v>
      </c>
      <c r="AX569" s="1979">
        <f>IF(Construction!$F$31=Construction!$R$22,Oeko!DK569,Oeko!FX569)</f>
        <v>1</v>
      </c>
      <c r="AY569" s="1979">
        <f>IF(Construction!$F$31=Construction!$R$22,Oeko!DL569,Oeko!FY569)</f>
        <v>1</v>
      </c>
      <c r="AZ569" s="1979">
        <f>IF(Construction!$F$31=Construction!$R$22,Oeko!DM569,Oeko!FZ569)</f>
        <v>1</v>
      </c>
      <c r="BA569" s="1979">
        <f>IF(Construction!$F$31=Construction!$R$22,Oeko!DN569,Oeko!GA569)</f>
        <v>1</v>
      </c>
      <c r="BB569" s="1998">
        <f>IF(Construction!$F$31=Construction!$R$22,Oeko!DO569,Oeko!GB569)</f>
        <v>1</v>
      </c>
      <c r="BC569" s="1998">
        <f>IF(Construction!$F$31=Construction!$R$22,Oeko!DP569,Oeko!GC569)</f>
        <v>1</v>
      </c>
      <c r="BD569" s="1998">
        <f>IF(Construction!$F$31=Construction!$R$22,Oeko!DQ569,Oeko!GD569)</f>
        <v>1</v>
      </c>
      <c r="BE569" s="1998">
        <f>IF(Construction!$F$31=Construction!$R$22,Oeko!DR569,Oeko!GE569)</f>
        <v>1</v>
      </c>
      <c r="BF569" s="1998">
        <f>IF(Construction!$F$31=Construction!$R$22,Oeko!DS569,Oeko!GF569)</f>
        <v>1</v>
      </c>
      <c r="BG569" s="1979">
        <f>IF(Construction!$F$31=Construction!$R$22,Oeko!DT569,Oeko!GG569)</f>
        <v>1</v>
      </c>
      <c r="BH569" s="1979">
        <f>IF(Construction!$F$31=Construction!$R$22,Oeko!DU569,Oeko!GH569)</f>
        <v>1</v>
      </c>
      <c r="BI569" s="1979">
        <f>IF(Construction!$F$31=Construction!$R$22,Oeko!DV569,Oeko!GI569)</f>
        <v>1</v>
      </c>
      <c r="BJ569" s="1979">
        <f>IF(Construction!$F$31=Construction!$R$22,Oeko!DW569,Oeko!GJ569)</f>
        <v>1</v>
      </c>
      <c r="BK569" s="2021">
        <f>IF(Construction!$F$31=Construction!$R$22,Oeko!DX569,Oeko!GK569)</f>
        <v>1</v>
      </c>
      <c r="BN569" s="2018"/>
      <c r="BO569" s="2">
        <v>29</v>
      </c>
      <c r="BP569" s="2" t="str">
        <f>$AD$13</f>
        <v>Fondation superficielle</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Fondation superficielle</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Micro-pieux</v>
      </c>
      <c r="D570" s="1998">
        <f>IF(Construction!$F$31=Construction!$R$22,Oeko!BQ570,Oeko!ED570)</f>
        <v>1</v>
      </c>
      <c r="E570" s="1998">
        <f>IF(Construction!$F$31=Construction!$R$22,Oeko!BR570,Oeko!EE570)</f>
        <v>1</v>
      </c>
      <c r="F570" s="1998">
        <f>IF(Construction!$F$31=Construction!$R$22,Oeko!BS570,Oeko!EF570)</f>
        <v>1</v>
      </c>
      <c r="G570" s="1998">
        <f>IF(Construction!$F$31=Construction!$R$22,Oeko!BT570,Oeko!EG570)</f>
        <v>1</v>
      </c>
      <c r="H570" s="1998">
        <f>IF(Construction!$F$31=Construction!$R$22,Oeko!BU570,Oeko!EH570)</f>
        <v>1</v>
      </c>
      <c r="I570" s="1979">
        <f>IF(Construction!$F$31=Construction!$R$22,Oeko!BV570,Oeko!EI570)</f>
        <v>1</v>
      </c>
      <c r="J570" s="1979">
        <f>IF(Construction!$F$31=Construction!$R$22,Oeko!BW570,Oeko!EJ570)</f>
        <v>1</v>
      </c>
      <c r="K570" s="1979">
        <f>IF(Construction!$F$31=Construction!$R$22,Oeko!BX570,Oeko!EK570)</f>
        <v>1</v>
      </c>
      <c r="L570" s="1979">
        <f>IF(Construction!$F$31=Construction!$R$22,Oeko!BY570,Oeko!EL570)</f>
        <v>1</v>
      </c>
      <c r="M570" s="1979">
        <f>IF(Construction!$F$31=Construction!$R$22,Oeko!BZ570,Oeko!EM570)</f>
        <v>1</v>
      </c>
      <c r="N570" s="1998">
        <f>IF(Construction!$F$31=Construction!$R$22,Oeko!CA570,Oeko!EN570)</f>
        <v>1</v>
      </c>
      <c r="O570" s="1998">
        <f>IF(Construction!$F$31=Construction!$R$22,Oeko!CB570,Oeko!EO570)</f>
        <v>1</v>
      </c>
      <c r="P570" s="1998">
        <f>IF(Construction!$F$31=Construction!$R$22,Oeko!CC570,Oeko!EP570)</f>
        <v>1</v>
      </c>
      <c r="Q570" s="1998">
        <f>IF(Construction!$F$31=Construction!$R$22,Oeko!CD570,Oeko!EQ570)</f>
        <v>1</v>
      </c>
      <c r="R570" s="1998">
        <f>IF(Construction!$F$31=Construction!$R$22,Oeko!CE570,Oeko!ER570)</f>
        <v>1</v>
      </c>
      <c r="S570" s="1979">
        <f>IF(Construction!$F$31=Construction!$R$22,Oeko!CF570,Oeko!ES570)</f>
        <v>1</v>
      </c>
      <c r="T570" s="1979">
        <f>IF(Construction!$F$31=Construction!$R$22,Oeko!CG570,Oeko!ET570)</f>
        <v>1</v>
      </c>
      <c r="U570" s="1979">
        <f>IF(Construction!$F$31=Construction!$R$22,Oeko!CH570,Oeko!EU570)</f>
        <v>1</v>
      </c>
      <c r="V570" s="1979">
        <f>IF(Construction!$F$31=Construction!$R$22,Oeko!CI570,Oeko!EV570)</f>
        <v>1</v>
      </c>
      <c r="W570" s="1979">
        <f>IF(Construction!$F$31=Construction!$R$22,Oeko!CJ570,Oeko!EW570)</f>
        <v>1</v>
      </c>
      <c r="X570" s="1998">
        <f>IF(Construction!$F$31=Construction!$R$22,Oeko!CK570,Oeko!EX570)</f>
        <v>1</v>
      </c>
      <c r="Y570" s="1998">
        <f>IF(Construction!$F$31=Construction!$R$22,Oeko!CL570,Oeko!EY570)</f>
        <v>1</v>
      </c>
      <c r="Z570" s="1998">
        <f>IF(Construction!$F$31=Construction!$R$22,Oeko!CM570,Oeko!EZ570)</f>
        <v>1</v>
      </c>
      <c r="AA570" s="1998">
        <f>IF(Construction!$F$31=Construction!$R$22,Oeko!CN570,Oeko!FA570)</f>
        <v>1</v>
      </c>
      <c r="AB570" s="1998">
        <f>IF(Construction!$F$31=Construction!$R$22,Oeko!CO570,Oeko!FB570)</f>
        <v>1</v>
      </c>
      <c r="AC570" s="1979">
        <f>IF(Construction!$F$31=Construction!$R$22,Oeko!CP570,Oeko!FC570)</f>
        <v>1</v>
      </c>
      <c r="AD570" s="1979">
        <f>IF(Construction!$F$31=Construction!$R$22,Oeko!CQ570,Oeko!FD570)</f>
        <v>1</v>
      </c>
      <c r="AE570" s="1979">
        <f>IF(Construction!$F$31=Construction!$R$22,Oeko!CR570,Oeko!FE570)</f>
        <v>1</v>
      </c>
      <c r="AF570" s="1979">
        <f>IF(Construction!$F$31=Construction!$R$22,Oeko!CS570,Oeko!FF570)</f>
        <v>1</v>
      </c>
      <c r="AG570" s="1979">
        <f>IF(Construction!$F$31=Construction!$R$22,Oeko!CT570,Oeko!FG570)</f>
        <v>1</v>
      </c>
      <c r="AH570" s="1998">
        <f>IF(Construction!$F$31=Construction!$R$22,Oeko!CU570,Oeko!FH570)</f>
        <v>1</v>
      </c>
      <c r="AI570" s="1998">
        <f>IF(Construction!$F$31=Construction!$R$22,Oeko!CV570,Oeko!FI570)</f>
        <v>1</v>
      </c>
      <c r="AJ570" s="1998">
        <f>IF(Construction!$F$31=Construction!$R$22,Oeko!CW570,Oeko!FJ570)</f>
        <v>1</v>
      </c>
      <c r="AK570" s="1998">
        <f>IF(Construction!$F$31=Construction!$R$22,Oeko!CX570,Oeko!FK570)</f>
        <v>1</v>
      </c>
      <c r="AL570" s="1998">
        <f>IF(Construction!$F$31=Construction!$R$22,Oeko!CY570,Oeko!FL570)</f>
        <v>1</v>
      </c>
      <c r="AM570" s="1979">
        <f>IF(Construction!$F$31=Construction!$R$22,Oeko!CZ570,Oeko!FM570)</f>
        <v>1</v>
      </c>
      <c r="AN570" s="1979">
        <f>IF(Construction!$F$31=Construction!$R$22,Oeko!DA570,Oeko!FN570)</f>
        <v>1</v>
      </c>
      <c r="AO570" s="1979">
        <f>IF(Construction!$F$31=Construction!$R$22,Oeko!DB570,Oeko!FO570)</f>
        <v>1</v>
      </c>
      <c r="AP570" s="1979">
        <f>IF(Construction!$F$31=Construction!$R$22,Oeko!DC570,Oeko!FP570)</f>
        <v>1</v>
      </c>
      <c r="AQ570" s="1979">
        <f>IF(Construction!$F$31=Construction!$R$22,Oeko!DD570,Oeko!FQ570)</f>
        <v>1</v>
      </c>
      <c r="AR570" s="1998">
        <f>IF(Construction!$F$31=Construction!$R$22,Oeko!DE570,Oeko!FR570)</f>
        <v>1</v>
      </c>
      <c r="AS570" s="1998">
        <f>IF(Construction!$F$31=Construction!$R$22,Oeko!DF570,Oeko!FS570)</f>
        <v>1</v>
      </c>
      <c r="AT570" s="1998">
        <f>IF(Construction!$F$31=Construction!$R$22,Oeko!DG570,Oeko!FT570)</f>
        <v>1</v>
      </c>
      <c r="AU570" s="1998">
        <f>IF(Construction!$F$31=Construction!$R$22,Oeko!DH570,Oeko!FU570)</f>
        <v>1</v>
      </c>
      <c r="AV570" s="1998">
        <f>IF(Construction!$F$31=Construction!$R$22,Oeko!DI570,Oeko!FV570)</f>
        <v>1</v>
      </c>
      <c r="AW570" s="1979">
        <f>IF(Construction!$F$31=Construction!$R$22,Oeko!DJ570,Oeko!FW570)</f>
        <v>1</v>
      </c>
      <c r="AX570" s="1979">
        <f>IF(Construction!$F$31=Construction!$R$22,Oeko!DK570,Oeko!FX570)</f>
        <v>1</v>
      </c>
      <c r="AY570" s="1979">
        <f>IF(Construction!$F$31=Construction!$R$22,Oeko!DL570,Oeko!FY570)</f>
        <v>1</v>
      </c>
      <c r="AZ570" s="1979">
        <f>IF(Construction!$F$31=Construction!$R$22,Oeko!DM570,Oeko!FZ570)</f>
        <v>1</v>
      </c>
      <c r="BA570" s="1979">
        <f>IF(Construction!$F$31=Construction!$R$22,Oeko!DN570,Oeko!GA570)</f>
        <v>1</v>
      </c>
      <c r="BB570" s="1998">
        <f>IF(Construction!$F$31=Construction!$R$22,Oeko!DO570,Oeko!GB570)</f>
        <v>1</v>
      </c>
      <c r="BC570" s="1998">
        <f>IF(Construction!$F$31=Construction!$R$22,Oeko!DP570,Oeko!GC570)</f>
        <v>1</v>
      </c>
      <c r="BD570" s="1998">
        <f>IF(Construction!$F$31=Construction!$R$22,Oeko!DQ570,Oeko!GD570)</f>
        <v>1</v>
      </c>
      <c r="BE570" s="1998">
        <f>IF(Construction!$F$31=Construction!$R$22,Oeko!DR570,Oeko!GE570)</f>
        <v>1</v>
      </c>
      <c r="BF570" s="1998">
        <f>IF(Construction!$F$31=Construction!$R$22,Oeko!DS570,Oeko!GF570)</f>
        <v>1</v>
      </c>
      <c r="BG570" s="1979">
        <f>IF(Construction!$F$31=Construction!$R$22,Oeko!DT570,Oeko!GG570)</f>
        <v>1</v>
      </c>
      <c r="BH570" s="1979">
        <f>IF(Construction!$F$31=Construction!$R$22,Oeko!DU570,Oeko!GH570)</f>
        <v>1</v>
      </c>
      <c r="BI570" s="1979">
        <f>IF(Construction!$F$31=Construction!$R$22,Oeko!DV570,Oeko!GI570)</f>
        <v>1</v>
      </c>
      <c r="BJ570" s="1979">
        <f>IF(Construction!$F$31=Construction!$R$22,Oeko!DW570,Oeko!GJ570)</f>
        <v>1</v>
      </c>
      <c r="BK570" s="2021">
        <f>IF(Construction!$F$31=Construction!$R$22,Oeko!DX570,Oeko!GK570)</f>
        <v>1</v>
      </c>
      <c r="BN570" s="2018"/>
      <c r="BO570" s="2">
        <v>30</v>
      </c>
      <c r="BP570" s="2" t="str">
        <f>$AD$14</f>
        <v>Micro-pieux</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Micro-pieux</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Pieux en béton coulé sur place</v>
      </c>
      <c r="D571" s="1998">
        <f>IF(Construction!$F$31=Construction!$R$22,Oeko!BQ571,Oeko!ED571)</f>
        <v>1</v>
      </c>
      <c r="E571" s="1998">
        <f>IF(Construction!$F$31=Construction!$R$22,Oeko!BR571,Oeko!EE571)</f>
        <v>1</v>
      </c>
      <c r="F571" s="1998">
        <f>IF(Construction!$F$31=Construction!$R$22,Oeko!BS571,Oeko!EF571)</f>
        <v>1</v>
      </c>
      <c r="G571" s="1998">
        <f>IF(Construction!$F$31=Construction!$R$22,Oeko!BT571,Oeko!EG571)</f>
        <v>1</v>
      </c>
      <c r="H571" s="1998">
        <f>IF(Construction!$F$31=Construction!$R$22,Oeko!BU571,Oeko!EH571)</f>
        <v>1</v>
      </c>
      <c r="I571" s="1979">
        <f>IF(Construction!$F$31=Construction!$R$22,Oeko!BV571,Oeko!EI571)</f>
        <v>1</v>
      </c>
      <c r="J571" s="1979">
        <f>IF(Construction!$F$31=Construction!$R$22,Oeko!BW571,Oeko!EJ571)</f>
        <v>1</v>
      </c>
      <c r="K571" s="1979">
        <f>IF(Construction!$F$31=Construction!$R$22,Oeko!BX571,Oeko!EK571)</f>
        <v>1</v>
      </c>
      <c r="L571" s="1979">
        <f>IF(Construction!$F$31=Construction!$R$22,Oeko!BY571,Oeko!EL571)</f>
        <v>1</v>
      </c>
      <c r="M571" s="1979">
        <f>IF(Construction!$F$31=Construction!$R$22,Oeko!BZ571,Oeko!EM571)</f>
        <v>1</v>
      </c>
      <c r="N571" s="1998">
        <f>IF(Construction!$F$31=Construction!$R$22,Oeko!CA571,Oeko!EN571)</f>
        <v>1</v>
      </c>
      <c r="O571" s="1998">
        <f>IF(Construction!$F$31=Construction!$R$22,Oeko!CB571,Oeko!EO571)</f>
        <v>1</v>
      </c>
      <c r="P571" s="1998">
        <f>IF(Construction!$F$31=Construction!$R$22,Oeko!CC571,Oeko!EP571)</f>
        <v>1</v>
      </c>
      <c r="Q571" s="1998">
        <f>IF(Construction!$F$31=Construction!$R$22,Oeko!CD571,Oeko!EQ571)</f>
        <v>1</v>
      </c>
      <c r="R571" s="1998">
        <f>IF(Construction!$F$31=Construction!$R$22,Oeko!CE571,Oeko!ER571)</f>
        <v>1</v>
      </c>
      <c r="S571" s="1979">
        <f>IF(Construction!$F$31=Construction!$R$22,Oeko!CF571,Oeko!ES571)</f>
        <v>1</v>
      </c>
      <c r="T571" s="1979">
        <f>IF(Construction!$F$31=Construction!$R$22,Oeko!CG571,Oeko!ET571)</f>
        <v>1</v>
      </c>
      <c r="U571" s="1979">
        <f>IF(Construction!$F$31=Construction!$R$22,Oeko!CH571,Oeko!EU571)</f>
        <v>1</v>
      </c>
      <c r="V571" s="1979">
        <f>IF(Construction!$F$31=Construction!$R$22,Oeko!CI571,Oeko!EV571)</f>
        <v>1</v>
      </c>
      <c r="W571" s="1979">
        <f>IF(Construction!$F$31=Construction!$R$22,Oeko!CJ571,Oeko!EW571)</f>
        <v>1</v>
      </c>
      <c r="X571" s="1998">
        <f>IF(Construction!$F$31=Construction!$R$22,Oeko!CK571,Oeko!EX571)</f>
        <v>1</v>
      </c>
      <c r="Y571" s="1998">
        <f>IF(Construction!$F$31=Construction!$R$22,Oeko!CL571,Oeko!EY571)</f>
        <v>1</v>
      </c>
      <c r="Z571" s="1998">
        <f>IF(Construction!$F$31=Construction!$R$22,Oeko!CM571,Oeko!EZ571)</f>
        <v>1</v>
      </c>
      <c r="AA571" s="1998">
        <f>IF(Construction!$F$31=Construction!$R$22,Oeko!CN571,Oeko!FA571)</f>
        <v>1</v>
      </c>
      <c r="AB571" s="1998">
        <f>IF(Construction!$F$31=Construction!$R$22,Oeko!CO571,Oeko!FB571)</f>
        <v>1</v>
      </c>
      <c r="AC571" s="1979">
        <f>IF(Construction!$F$31=Construction!$R$22,Oeko!CP571,Oeko!FC571)</f>
        <v>1</v>
      </c>
      <c r="AD571" s="1979">
        <f>IF(Construction!$F$31=Construction!$R$22,Oeko!CQ571,Oeko!FD571)</f>
        <v>1</v>
      </c>
      <c r="AE571" s="1979">
        <f>IF(Construction!$F$31=Construction!$R$22,Oeko!CR571,Oeko!FE571)</f>
        <v>1</v>
      </c>
      <c r="AF571" s="1979">
        <f>IF(Construction!$F$31=Construction!$R$22,Oeko!CS571,Oeko!FF571)</f>
        <v>1</v>
      </c>
      <c r="AG571" s="1979">
        <f>IF(Construction!$F$31=Construction!$R$22,Oeko!CT571,Oeko!FG571)</f>
        <v>1</v>
      </c>
      <c r="AH571" s="1998">
        <f>IF(Construction!$F$31=Construction!$R$22,Oeko!CU571,Oeko!FH571)</f>
        <v>1</v>
      </c>
      <c r="AI571" s="1998">
        <f>IF(Construction!$F$31=Construction!$R$22,Oeko!CV571,Oeko!FI571)</f>
        <v>1</v>
      </c>
      <c r="AJ571" s="1998">
        <f>IF(Construction!$F$31=Construction!$R$22,Oeko!CW571,Oeko!FJ571)</f>
        <v>1</v>
      </c>
      <c r="AK571" s="1998">
        <f>IF(Construction!$F$31=Construction!$R$22,Oeko!CX571,Oeko!FK571)</f>
        <v>1</v>
      </c>
      <c r="AL571" s="1998">
        <f>IF(Construction!$F$31=Construction!$R$22,Oeko!CY571,Oeko!FL571)</f>
        <v>1</v>
      </c>
      <c r="AM571" s="1979">
        <f>IF(Construction!$F$31=Construction!$R$22,Oeko!CZ571,Oeko!FM571)</f>
        <v>1</v>
      </c>
      <c r="AN571" s="1979">
        <f>IF(Construction!$F$31=Construction!$R$22,Oeko!DA571,Oeko!FN571)</f>
        <v>1</v>
      </c>
      <c r="AO571" s="1979">
        <f>IF(Construction!$F$31=Construction!$R$22,Oeko!DB571,Oeko!FO571)</f>
        <v>1</v>
      </c>
      <c r="AP571" s="1979">
        <f>IF(Construction!$F$31=Construction!$R$22,Oeko!DC571,Oeko!FP571)</f>
        <v>1</v>
      </c>
      <c r="AQ571" s="1979">
        <f>IF(Construction!$F$31=Construction!$R$22,Oeko!DD571,Oeko!FQ571)</f>
        <v>1</v>
      </c>
      <c r="AR571" s="1998">
        <f>IF(Construction!$F$31=Construction!$R$22,Oeko!DE571,Oeko!FR571)</f>
        <v>1</v>
      </c>
      <c r="AS571" s="1998">
        <f>IF(Construction!$F$31=Construction!$R$22,Oeko!DF571,Oeko!FS571)</f>
        <v>1</v>
      </c>
      <c r="AT571" s="1998">
        <f>IF(Construction!$F$31=Construction!$R$22,Oeko!DG571,Oeko!FT571)</f>
        <v>1</v>
      </c>
      <c r="AU571" s="1998">
        <f>IF(Construction!$F$31=Construction!$R$22,Oeko!DH571,Oeko!FU571)</f>
        <v>1</v>
      </c>
      <c r="AV571" s="1998">
        <f>IF(Construction!$F$31=Construction!$R$22,Oeko!DI571,Oeko!FV571)</f>
        <v>1</v>
      </c>
      <c r="AW571" s="1979">
        <f>IF(Construction!$F$31=Construction!$R$22,Oeko!DJ571,Oeko!FW571)</f>
        <v>1</v>
      </c>
      <c r="AX571" s="1979">
        <f>IF(Construction!$F$31=Construction!$R$22,Oeko!DK571,Oeko!FX571)</f>
        <v>1</v>
      </c>
      <c r="AY571" s="1979">
        <f>IF(Construction!$F$31=Construction!$R$22,Oeko!DL571,Oeko!FY571)</f>
        <v>1</v>
      </c>
      <c r="AZ571" s="1979">
        <f>IF(Construction!$F$31=Construction!$R$22,Oeko!DM571,Oeko!FZ571)</f>
        <v>1</v>
      </c>
      <c r="BA571" s="1979">
        <f>IF(Construction!$F$31=Construction!$R$22,Oeko!DN571,Oeko!GA571)</f>
        <v>1</v>
      </c>
      <c r="BB571" s="1998">
        <f>IF(Construction!$F$31=Construction!$R$22,Oeko!DO571,Oeko!GB571)</f>
        <v>1</v>
      </c>
      <c r="BC571" s="1998">
        <f>IF(Construction!$F$31=Construction!$R$22,Oeko!DP571,Oeko!GC571)</f>
        <v>1</v>
      </c>
      <c r="BD571" s="1998">
        <f>IF(Construction!$F$31=Construction!$R$22,Oeko!DQ571,Oeko!GD571)</f>
        <v>1</v>
      </c>
      <c r="BE571" s="1998">
        <f>IF(Construction!$F$31=Construction!$R$22,Oeko!DR571,Oeko!GE571)</f>
        <v>1</v>
      </c>
      <c r="BF571" s="1998">
        <f>IF(Construction!$F$31=Construction!$R$22,Oeko!DS571,Oeko!GF571)</f>
        <v>1</v>
      </c>
      <c r="BG571" s="1979">
        <f>IF(Construction!$F$31=Construction!$R$22,Oeko!DT571,Oeko!GG571)</f>
        <v>1</v>
      </c>
      <c r="BH571" s="1979">
        <f>IF(Construction!$F$31=Construction!$R$22,Oeko!DU571,Oeko!GH571)</f>
        <v>1</v>
      </c>
      <c r="BI571" s="1979">
        <f>IF(Construction!$F$31=Construction!$R$22,Oeko!DV571,Oeko!GI571)</f>
        <v>1</v>
      </c>
      <c r="BJ571" s="1979">
        <f>IF(Construction!$F$31=Construction!$R$22,Oeko!DW571,Oeko!GJ571)</f>
        <v>1</v>
      </c>
      <c r="BK571" s="2021">
        <f>IF(Construction!$F$31=Construction!$R$22,Oeko!DX571,Oeko!GK571)</f>
        <v>1</v>
      </c>
      <c r="BN571" s="2018"/>
      <c r="BO571" s="2">
        <v>31</v>
      </c>
      <c r="BP571" s="2" t="str">
        <f>$AD$15</f>
        <v>Pieux en béton coulé sur place</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Pieux en béton coulé sur place</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Colonnes ballastées</v>
      </c>
      <c r="D572" s="1998">
        <f>IF(Construction!$F$31=Construction!$R$22,Oeko!BQ572,Oeko!ED572)</f>
        <v>1</v>
      </c>
      <c r="E572" s="1998">
        <f>IF(Construction!$F$31=Construction!$R$22,Oeko!BR572,Oeko!EE572)</f>
        <v>1</v>
      </c>
      <c r="F572" s="1998">
        <f>IF(Construction!$F$31=Construction!$R$22,Oeko!BS572,Oeko!EF572)</f>
        <v>1</v>
      </c>
      <c r="G572" s="1998">
        <f>IF(Construction!$F$31=Construction!$R$22,Oeko!BT572,Oeko!EG572)</f>
        <v>1</v>
      </c>
      <c r="H572" s="1998">
        <f>IF(Construction!$F$31=Construction!$R$22,Oeko!BU572,Oeko!EH572)</f>
        <v>1</v>
      </c>
      <c r="I572" s="1979">
        <f>IF(Construction!$F$31=Construction!$R$22,Oeko!BV572,Oeko!EI572)</f>
        <v>1</v>
      </c>
      <c r="J572" s="1979">
        <f>IF(Construction!$F$31=Construction!$R$22,Oeko!BW572,Oeko!EJ572)</f>
        <v>1</v>
      </c>
      <c r="K572" s="1979">
        <f>IF(Construction!$F$31=Construction!$R$22,Oeko!BX572,Oeko!EK572)</f>
        <v>1</v>
      </c>
      <c r="L572" s="1979">
        <f>IF(Construction!$F$31=Construction!$R$22,Oeko!BY572,Oeko!EL572)</f>
        <v>1</v>
      </c>
      <c r="M572" s="1979">
        <f>IF(Construction!$F$31=Construction!$R$22,Oeko!BZ572,Oeko!EM572)</f>
        <v>1</v>
      </c>
      <c r="N572" s="1998">
        <f>IF(Construction!$F$31=Construction!$R$22,Oeko!CA572,Oeko!EN572)</f>
        <v>1</v>
      </c>
      <c r="O572" s="1998">
        <f>IF(Construction!$F$31=Construction!$R$22,Oeko!CB572,Oeko!EO572)</f>
        <v>1</v>
      </c>
      <c r="P572" s="1998">
        <f>IF(Construction!$F$31=Construction!$R$22,Oeko!CC572,Oeko!EP572)</f>
        <v>1</v>
      </c>
      <c r="Q572" s="1998">
        <f>IF(Construction!$F$31=Construction!$R$22,Oeko!CD572,Oeko!EQ572)</f>
        <v>1</v>
      </c>
      <c r="R572" s="1998">
        <f>IF(Construction!$F$31=Construction!$R$22,Oeko!CE572,Oeko!ER572)</f>
        <v>1</v>
      </c>
      <c r="S572" s="1979">
        <f>IF(Construction!$F$31=Construction!$R$22,Oeko!CF572,Oeko!ES572)</f>
        <v>1</v>
      </c>
      <c r="T572" s="1979">
        <f>IF(Construction!$F$31=Construction!$R$22,Oeko!CG572,Oeko!ET572)</f>
        <v>1</v>
      </c>
      <c r="U572" s="1979">
        <f>IF(Construction!$F$31=Construction!$R$22,Oeko!CH572,Oeko!EU572)</f>
        <v>1</v>
      </c>
      <c r="V572" s="1979">
        <f>IF(Construction!$F$31=Construction!$R$22,Oeko!CI572,Oeko!EV572)</f>
        <v>1</v>
      </c>
      <c r="W572" s="1979">
        <f>IF(Construction!$F$31=Construction!$R$22,Oeko!CJ572,Oeko!EW572)</f>
        <v>1</v>
      </c>
      <c r="X572" s="1998">
        <f>IF(Construction!$F$31=Construction!$R$22,Oeko!CK572,Oeko!EX572)</f>
        <v>1</v>
      </c>
      <c r="Y572" s="1998">
        <f>IF(Construction!$F$31=Construction!$R$22,Oeko!CL572,Oeko!EY572)</f>
        <v>1</v>
      </c>
      <c r="Z572" s="1998">
        <f>IF(Construction!$F$31=Construction!$R$22,Oeko!CM572,Oeko!EZ572)</f>
        <v>1</v>
      </c>
      <c r="AA572" s="1998">
        <f>IF(Construction!$F$31=Construction!$R$22,Oeko!CN572,Oeko!FA572)</f>
        <v>1</v>
      </c>
      <c r="AB572" s="1998">
        <f>IF(Construction!$F$31=Construction!$R$22,Oeko!CO572,Oeko!FB572)</f>
        <v>1</v>
      </c>
      <c r="AC572" s="1979">
        <f>IF(Construction!$F$31=Construction!$R$22,Oeko!CP572,Oeko!FC572)</f>
        <v>1</v>
      </c>
      <c r="AD572" s="1979">
        <f>IF(Construction!$F$31=Construction!$R$22,Oeko!CQ572,Oeko!FD572)</f>
        <v>1</v>
      </c>
      <c r="AE572" s="1979">
        <f>IF(Construction!$F$31=Construction!$R$22,Oeko!CR572,Oeko!FE572)</f>
        <v>1</v>
      </c>
      <c r="AF572" s="1979">
        <f>IF(Construction!$F$31=Construction!$R$22,Oeko!CS572,Oeko!FF572)</f>
        <v>1</v>
      </c>
      <c r="AG572" s="1979">
        <f>IF(Construction!$F$31=Construction!$R$22,Oeko!CT572,Oeko!FG572)</f>
        <v>1</v>
      </c>
      <c r="AH572" s="1998">
        <f>IF(Construction!$F$31=Construction!$R$22,Oeko!CU572,Oeko!FH572)</f>
        <v>1</v>
      </c>
      <c r="AI572" s="1998">
        <f>IF(Construction!$F$31=Construction!$R$22,Oeko!CV572,Oeko!FI572)</f>
        <v>1</v>
      </c>
      <c r="AJ572" s="1998">
        <f>IF(Construction!$F$31=Construction!$R$22,Oeko!CW572,Oeko!FJ572)</f>
        <v>1</v>
      </c>
      <c r="AK572" s="1998">
        <f>IF(Construction!$F$31=Construction!$R$22,Oeko!CX572,Oeko!FK572)</f>
        <v>1</v>
      </c>
      <c r="AL572" s="1998">
        <f>IF(Construction!$F$31=Construction!$R$22,Oeko!CY572,Oeko!FL572)</f>
        <v>1</v>
      </c>
      <c r="AM572" s="1979">
        <f>IF(Construction!$F$31=Construction!$R$22,Oeko!CZ572,Oeko!FM572)</f>
        <v>1</v>
      </c>
      <c r="AN572" s="1979">
        <f>IF(Construction!$F$31=Construction!$R$22,Oeko!DA572,Oeko!FN572)</f>
        <v>1</v>
      </c>
      <c r="AO572" s="1979">
        <f>IF(Construction!$F$31=Construction!$R$22,Oeko!DB572,Oeko!FO572)</f>
        <v>1</v>
      </c>
      <c r="AP572" s="1979">
        <f>IF(Construction!$F$31=Construction!$R$22,Oeko!DC572,Oeko!FP572)</f>
        <v>1</v>
      </c>
      <c r="AQ572" s="1979">
        <f>IF(Construction!$F$31=Construction!$R$22,Oeko!DD572,Oeko!FQ572)</f>
        <v>1</v>
      </c>
      <c r="AR572" s="1998">
        <f>IF(Construction!$F$31=Construction!$R$22,Oeko!DE572,Oeko!FR572)</f>
        <v>1</v>
      </c>
      <c r="AS572" s="1998">
        <f>IF(Construction!$F$31=Construction!$R$22,Oeko!DF572,Oeko!FS572)</f>
        <v>1</v>
      </c>
      <c r="AT572" s="1998">
        <f>IF(Construction!$F$31=Construction!$R$22,Oeko!DG572,Oeko!FT572)</f>
        <v>1</v>
      </c>
      <c r="AU572" s="1998">
        <f>IF(Construction!$F$31=Construction!$R$22,Oeko!DH572,Oeko!FU572)</f>
        <v>1</v>
      </c>
      <c r="AV572" s="1998">
        <f>IF(Construction!$F$31=Construction!$R$22,Oeko!DI572,Oeko!FV572)</f>
        <v>1</v>
      </c>
      <c r="AW572" s="1979">
        <f>IF(Construction!$F$31=Construction!$R$22,Oeko!DJ572,Oeko!FW572)</f>
        <v>1</v>
      </c>
      <c r="AX572" s="1979">
        <f>IF(Construction!$F$31=Construction!$R$22,Oeko!DK572,Oeko!FX572)</f>
        <v>1</v>
      </c>
      <c r="AY572" s="1979">
        <f>IF(Construction!$F$31=Construction!$R$22,Oeko!DL572,Oeko!FY572)</f>
        <v>1</v>
      </c>
      <c r="AZ572" s="1979">
        <f>IF(Construction!$F$31=Construction!$R$22,Oeko!DM572,Oeko!FZ572)</f>
        <v>1</v>
      </c>
      <c r="BA572" s="1979">
        <f>IF(Construction!$F$31=Construction!$R$22,Oeko!DN572,Oeko!GA572)</f>
        <v>1</v>
      </c>
      <c r="BB572" s="1998">
        <f>IF(Construction!$F$31=Construction!$R$22,Oeko!DO572,Oeko!GB572)</f>
        <v>1</v>
      </c>
      <c r="BC572" s="1998">
        <f>IF(Construction!$F$31=Construction!$R$22,Oeko!DP572,Oeko!GC572)</f>
        <v>1</v>
      </c>
      <c r="BD572" s="1998">
        <f>IF(Construction!$F$31=Construction!$R$22,Oeko!DQ572,Oeko!GD572)</f>
        <v>1</v>
      </c>
      <c r="BE572" s="1998">
        <f>IF(Construction!$F$31=Construction!$R$22,Oeko!DR572,Oeko!GE572)</f>
        <v>1</v>
      </c>
      <c r="BF572" s="1998">
        <f>IF(Construction!$F$31=Construction!$R$22,Oeko!DS572,Oeko!GF572)</f>
        <v>1</v>
      </c>
      <c r="BG572" s="1979">
        <f>IF(Construction!$F$31=Construction!$R$22,Oeko!DT572,Oeko!GG572)</f>
        <v>1</v>
      </c>
      <c r="BH572" s="1979">
        <f>IF(Construction!$F$31=Construction!$R$22,Oeko!DU572,Oeko!GH572)</f>
        <v>1</v>
      </c>
      <c r="BI572" s="1979">
        <f>IF(Construction!$F$31=Construction!$R$22,Oeko!DV572,Oeko!GI572)</f>
        <v>1</v>
      </c>
      <c r="BJ572" s="1979">
        <f>IF(Construction!$F$31=Construction!$R$22,Oeko!DW572,Oeko!GJ572)</f>
        <v>1</v>
      </c>
      <c r="BK572" s="2021">
        <f>IF(Construction!$F$31=Construction!$R$22,Oeko!DX572,Oeko!GK572)</f>
        <v>1</v>
      </c>
      <c r="BN572" s="2018"/>
      <c r="BO572" s="2">
        <v>32</v>
      </c>
      <c r="BP572" s="2" t="str">
        <f>$AD$16</f>
        <v>Colonnes ballastées</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Colonnes ballastées</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Pieu en béton préfabriqué (battus)</v>
      </c>
      <c r="D573" s="1998">
        <f>IF(Construction!$F$31=Construction!$R$22,Oeko!BQ573,Oeko!ED573)</f>
        <v>1</v>
      </c>
      <c r="E573" s="1998">
        <f>IF(Construction!$F$31=Construction!$R$22,Oeko!BR573,Oeko!EE573)</f>
        <v>1</v>
      </c>
      <c r="F573" s="1998">
        <f>IF(Construction!$F$31=Construction!$R$22,Oeko!BS573,Oeko!EF573)</f>
        <v>1</v>
      </c>
      <c r="G573" s="1998">
        <f>IF(Construction!$F$31=Construction!$R$22,Oeko!BT573,Oeko!EG573)</f>
        <v>1</v>
      </c>
      <c r="H573" s="1998">
        <f>IF(Construction!$F$31=Construction!$R$22,Oeko!BU573,Oeko!EH573)</f>
        <v>1</v>
      </c>
      <c r="I573" s="1979">
        <f>IF(Construction!$F$31=Construction!$R$22,Oeko!BV573,Oeko!EI573)</f>
        <v>1</v>
      </c>
      <c r="J573" s="1979">
        <f>IF(Construction!$F$31=Construction!$R$22,Oeko!BW573,Oeko!EJ573)</f>
        <v>1</v>
      </c>
      <c r="K573" s="1979">
        <f>IF(Construction!$F$31=Construction!$R$22,Oeko!BX573,Oeko!EK573)</f>
        <v>1</v>
      </c>
      <c r="L573" s="1979">
        <f>IF(Construction!$F$31=Construction!$R$22,Oeko!BY573,Oeko!EL573)</f>
        <v>1</v>
      </c>
      <c r="M573" s="1979">
        <f>IF(Construction!$F$31=Construction!$R$22,Oeko!BZ573,Oeko!EM573)</f>
        <v>1</v>
      </c>
      <c r="N573" s="1998">
        <f>IF(Construction!$F$31=Construction!$R$22,Oeko!CA573,Oeko!EN573)</f>
        <v>1</v>
      </c>
      <c r="O573" s="1998">
        <f>IF(Construction!$F$31=Construction!$R$22,Oeko!CB573,Oeko!EO573)</f>
        <v>1</v>
      </c>
      <c r="P573" s="1998">
        <f>IF(Construction!$F$31=Construction!$R$22,Oeko!CC573,Oeko!EP573)</f>
        <v>1</v>
      </c>
      <c r="Q573" s="1998">
        <f>IF(Construction!$F$31=Construction!$R$22,Oeko!CD573,Oeko!EQ573)</f>
        <v>1</v>
      </c>
      <c r="R573" s="1998">
        <f>IF(Construction!$F$31=Construction!$R$22,Oeko!CE573,Oeko!ER573)</f>
        <v>1</v>
      </c>
      <c r="S573" s="1979">
        <f>IF(Construction!$F$31=Construction!$R$22,Oeko!CF573,Oeko!ES573)</f>
        <v>1</v>
      </c>
      <c r="T573" s="1979">
        <f>IF(Construction!$F$31=Construction!$R$22,Oeko!CG573,Oeko!ET573)</f>
        <v>1</v>
      </c>
      <c r="U573" s="1979">
        <f>IF(Construction!$F$31=Construction!$R$22,Oeko!CH573,Oeko!EU573)</f>
        <v>1</v>
      </c>
      <c r="V573" s="1979">
        <f>IF(Construction!$F$31=Construction!$R$22,Oeko!CI573,Oeko!EV573)</f>
        <v>1</v>
      </c>
      <c r="W573" s="1979">
        <f>IF(Construction!$F$31=Construction!$R$22,Oeko!CJ573,Oeko!EW573)</f>
        <v>1</v>
      </c>
      <c r="X573" s="1998">
        <f>IF(Construction!$F$31=Construction!$R$22,Oeko!CK573,Oeko!EX573)</f>
        <v>1</v>
      </c>
      <c r="Y573" s="1998">
        <f>IF(Construction!$F$31=Construction!$R$22,Oeko!CL573,Oeko!EY573)</f>
        <v>1</v>
      </c>
      <c r="Z573" s="1998">
        <f>IF(Construction!$F$31=Construction!$R$22,Oeko!CM573,Oeko!EZ573)</f>
        <v>1</v>
      </c>
      <c r="AA573" s="1998">
        <f>IF(Construction!$F$31=Construction!$R$22,Oeko!CN573,Oeko!FA573)</f>
        <v>1</v>
      </c>
      <c r="AB573" s="1998">
        <f>IF(Construction!$F$31=Construction!$R$22,Oeko!CO573,Oeko!FB573)</f>
        <v>1</v>
      </c>
      <c r="AC573" s="1979">
        <f>IF(Construction!$F$31=Construction!$R$22,Oeko!CP573,Oeko!FC573)</f>
        <v>1</v>
      </c>
      <c r="AD573" s="1979">
        <f>IF(Construction!$F$31=Construction!$R$22,Oeko!CQ573,Oeko!FD573)</f>
        <v>1</v>
      </c>
      <c r="AE573" s="1979">
        <f>IF(Construction!$F$31=Construction!$R$22,Oeko!CR573,Oeko!FE573)</f>
        <v>1</v>
      </c>
      <c r="AF573" s="1979">
        <f>IF(Construction!$F$31=Construction!$R$22,Oeko!CS573,Oeko!FF573)</f>
        <v>1</v>
      </c>
      <c r="AG573" s="1979">
        <f>IF(Construction!$F$31=Construction!$R$22,Oeko!CT573,Oeko!FG573)</f>
        <v>1</v>
      </c>
      <c r="AH573" s="1998">
        <f>IF(Construction!$F$31=Construction!$R$22,Oeko!CU573,Oeko!FH573)</f>
        <v>1</v>
      </c>
      <c r="AI573" s="1998">
        <f>IF(Construction!$F$31=Construction!$R$22,Oeko!CV573,Oeko!FI573)</f>
        <v>1</v>
      </c>
      <c r="AJ573" s="1998">
        <f>IF(Construction!$F$31=Construction!$R$22,Oeko!CW573,Oeko!FJ573)</f>
        <v>1</v>
      </c>
      <c r="AK573" s="1998">
        <f>IF(Construction!$F$31=Construction!$R$22,Oeko!CX573,Oeko!FK573)</f>
        <v>1</v>
      </c>
      <c r="AL573" s="1998">
        <f>IF(Construction!$F$31=Construction!$R$22,Oeko!CY573,Oeko!FL573)</f>
        <v>1</v>
      </c>
      <c r="AM573" s="1979">
        <f>IF(Construction!$F$31=Construction!$R$22,Oeko!CZ573,Oeko!FM573)</f>
        <v>1</v>
      </c>
      <c r="AN573" s="1979">
        <f>IF(Construction!$F$31=Construction!$R$22,Oeko!DA573,Oeko!FN573)</f>
        <v>1</v>
      </c>
      <c r="AO573" s="1979">
        <f>IF(Construction!$F$31=Construction!$R$22,Oeko!DB573,Oeko!FO573)</f>
        <v>1</v>
      </c>
      <c r="AP573" s="1979">
        <f>IF(Construction!$F$31=Construction!$R$22,Oeko!DC573,Oeko!FP573)</f>
        <v>1</v>
      </c>
      <c r="AQ573" s="1979">
        <f>IF(Construction!$F$31=Construction!$R$22,Oeko!DD573,Oeko!FQ573)</f>
        <v>1</v>
      </c>
      <c r="AR573" s="1998">
        <f>IF(Construction!$F$31=Construction!$R$22,Oeko!DE573,Oeko!FR573)</f>
        <v>1</v>
      </c>
      <c r="AS573" s="1998">
        <f>IF(Construction!$F$31=Construction!$R$22,Oeko!DF573,Oeko!FS573)</f>
        <v>1</v>
      </c>
      <c r="AT573" s="1998">
        <f>IF(Construction!$F$31=Construction!$R$22,Oeko!DG573,Oeko!FT573)</f>
        <v>1</v>
      </c>
      <c r="AU573" s="1998">
        <f>IF(Construction!$F$31=Construction!$R$22,Oeko!DH573,Oeko!FU573)</f>
        <v>1</v>
      </c>
      <c r="AV573" s="1998">
        <f>IF(Construction!$F$31=Construction!$R$22,Oeko!DI573,Oeko!FV573)</f>
        <v>1</v>
      </c>
      <c r="AW573" s="1979">
        <f>IF(Construction!$F$31=Construction!$R$22,Oeko!DJ573,Oeko!FW573)</f>
        <v>1</v>
      </c>
      <c r="AX573" s="1979">
        <f>IF(Construction!$F$31=Construction!$R$22,Oeko!DK573,Oeko!FX573)</f>
        <v>1</v>
      </c>
      <c r="AY573" s="1979">
        <f>IF(Construction!$F$31=Construction!$R$22,Oeko!DL573,Oeko!FY573)</f>
        <v>1</v>
      </c>
      <c r="AZ573" s="1979">
        <f>IF(Construction!$F$31=Construction!$R$22,Oeko!DM573,Oeko!FZ573)</f>
        <v>1</v>
      </c>
      <c r="BA573" s="1979">
        <f>IF(Construction!$F$31=Construction!$R$22,Oeko!DN573,Oeko!GA573)</f>
        <v>1</v>
      </c>
      <c r="BB573" s="1998">
        <f>IF(Construction!$F$31=Construction!$R$22,Oeko!DO573,Oeko!GB573)</f>
        <v>1</v>
      </c>
      <c r="BC573" s="1998">
        <f>IF(Construction!$F$31=Construction!$R$22,Oeko!DP573,Oeko!GC573)</f>
        <v>1</v>
      </c>
      <c r="BD573" s="1998">
        <f>IF(Construction!$F$31=Construction!$R$22,Oeko!DQ573,Oeko!GD573)</f>
        <v>1</v>
      </c>
      <c r="BE573" s="1998">
        <f>IF(Construction!$F$31=Construction!$R$22,Oeko!DR573,Oeko!GE573)</f>
        <v>1</v>
      </c>
      <c r="BF573" s="1998">
        <f>IF(Construction!$F$31=Construction!$R$22,Oeko!DS573,Oeko!GF573)</f>
        <v>1</v>
      </c>
      <c r="BG573" s="1979">
        <f>IF(Construction!$F$31=Construction!$R$22,Oeko!DT573,Oeko!GG573)</f>
        <v>1</v>
      </c>
      <c r="BH573" s="1979">
        <f>IF(Construction!$F$31=Construction!$R$22,Oeko!DU573,Oeko!GH573)</f>
        <v>1</v>
      </c>
      <c r="BI573" s="1979">
        <f>IF(Construction!$F$31=Construction!$R$22,Oeko!DV573,Oeko!GI573)</f>
        <v>1</v>
      </c>
      <c r="BJ573" s="1979">
        <f>IF(Construction!$F$31=Construction!$R$22,Oeko!DW573,Oeko!GJ573)</f>
        <v>1</v>
      </c>
      <c r="BK573" s="2021">
        <f>IF(Construction!$F$31=Construction!$R$22,Oeko!DX573,Oeko!GK573)</f>
        <v>1</v>
      </c>
      <c r="BN573" s="2018"/>
      <c r="BO573" s="2">
        <v>33</v>
      </c>
      <c r="BP573" s="2" t="str">
        <f>$AD$17</f>
        <v>Pieu en béton préfabriqué (battus)</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Pieu en béton préfabriqué (battus)</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IF(Construction!$F$31=Construction!$R$22,Oeko!BQ574,Oeko!ED574)</f>
        <v>1</v>
      </c>
      <c r="E574" s="1998">
        <f>IF(Construction!$F$31=Construction!$R$22,Oeko!BR574,Oeko!EE574)</f>
        <v>1</v>
      </c>
      <c r="F574" s="1998">
        <f>IF(Construction!$F$31=Construction!$R$22,Oeko!BS574,Oeko!EF574)</f>
        <v>1</v>
      </c>
      <c r="G574" s="1998">
        <f>IF(Construction!$F$31=Construction!$R$22,Oeko!BT574,Oeko!EG574)</f>
        <v>1</v>
      </c>
      <c r="H574" s="1998">
        <f>IF(Construction!$F$31=Construction!$R$22,Oeko!BU574,Oeko!EH574)</f>
        <v>1</v>
      </c>
      <c r="I574" s="1979">
        <f>IF(Construction!$F$31=Construction!$R$22,Oeko!BV574,Oeko!EI574)</f>
        <v>1</v>
      </c>
      <c r="J574" s="1979">
        <f>IF(Construction!$F$31=Construction!$R$22,Oeko!BW574,Oeko!EJ574)</f>
        <v>1</v>
      </c>
      <c r="K574" s="1979">
        <f>IF(Construction!$F$31=Construction!$R$22,Oeko!BX574,Oeko!EK574)</f>
        <v>1</v>
      </c>
      <c r="L574" s="1979">
        <f>IF(Construction!$F$31=Construction!$R$22,Oeko!BY574,Oeko!EL574)</f>
        <v>1</v>
      </c>
      <c r="M574" s="1979">
        <f>IF(Construction!$F$31=Construction!$R$22,Oeko!BZ574,Oeko!EM574)</f>
        <v>1</v>
      </c>
      <c r="N574" s="1998">
        <f>IF(Construction!$F$31=Construction!$R$22,Oeko!CA574,Oeko!EN574)</f>
        <v>1</v>
      </c>
      <c r="O574" s="1998">
        <f>IF(Construction!$F$31=Construction!$R$22,Oeko!CB574,Oeko!EO574)</f>
        <v>1</v>
      </c>
      <c r="P574" s="1998">
        <f>IF(Construction!$F$31=Construction!$R$22,Oeko!CC574,Oeko!EP574)</f>
        <v>1</v>
      </c>
      <c r="Q574" s="1998">
        <f>IF(Construction!$F$31=Construction!$R$22,Oeko!CD574,Oeko!EQ574)</f>
        <v>1</v>
      </c>
      <c r="R574" s="1998">
        <f>IF(Construction!$F$31=Construction!$R$22,Oeko!CE574,Oeko!ER574)</f>
        <v>1</v>
      </c>
      <c r="S574" s="1979">
        <f>IF(Construction!$F$31=Construction!$R$22,Oeko!CF574,Oeko!ES574)</f>
        <v>1</v>
      </c>
      <c r="T574" s="1979">
        <f>IF(Construction!$F$31=Construction!$R$22,Oeko!CG574,Oeko!ET574)</f>
        <v>1</v>
      </c>
      <c r="U574" s="1979">
        <f>IF(Construction!$F$31=Construction!$R$22,Oeko!CH574,Oeko!EU574)</f>
        <v>1</v>
      </c>
      <c r="V574" s="1979">
        <f>IF(Construction!$F$31=Construction!$R$22,Oeko!CI574,Oeko!EV574)</f>
        <v>1</v>
      </c>
      <c r="W574" s="1979">
        <f>IF(Construction!$F$31=Construction!$R$22,Oeko!CJ574,Oeko!EW574)</f>
        <v>1</v>
      </c>
      <c r="X574" s="1998">
        <f>IF(Construction!$F$31=Construction!$R$22,Oeko!CK574,Oeko!EX574)</f>
        <v>1</v>
      </c>
      <c r="Y574" s="1998">
        <f>IF(Construction!$F$31=Construction!$R$22,Oeko!CL574,Oeko!EY574)</f>
        <v>1</v>
      </c>
      <c r="Z574" s="1998">
        <f>IF(Construction!$F$31=Construction!$R$22,Oeko!CM574,Oeko!EZ574)</f>
        <v>1</v>
      </c>
      <c r="AA574" s="1998">
        <f>IF(Construction!$F$31=Construction!$R$22,Oeko!CN574,Oeko!FA574)</f>
        <v>1</v>
      </c>
      <c r="AB574" s="1998">
        <f>IF(Construction!$F$31=Construction!$R$22,Oeko!CO574,Oeko!FB574)</f>
        <v>1</v>
      </c>
      <c r="AC574" s="1979">
        <f>IF(Construction!$F$31=Construction!$R$22,Oeko!CP574,Oeko!FC574)</f>
        <v>1</v>
      </c>
      <c r="AD574" s="1979">
        <f>IF(Construction!$F$31=Construction!$R$22,Oeko!CQ574,Oeko!FD574)</f>
        <v>1</v>
      </c>
      <c r="AE574" s="1979">
        <f>IF(Construction!$F$31=Construction!$R$22,Oeko!CR574,Oeko!FE574)</f>
        <v>1</v>
      </c>
      <c r="AF574" s="1979">
        <f>IF(Construction!$F$31=Construction!$R$22,Oeko!CS574,Oeko!FF574)</f>
        <v>1</v>
      </c>
      <c r="AG574" s="1979">
        <f>IF(Construction!$F$31=Construction!$R$22,Oeko!CT574,Oeko!FG574)</f>
        <v>1</v>
      </c>
      <c r="AH574" s="1998">
        <f>IF(Construction!$F$31=Construction!$R$22,Oeko!CU574,Oeko!FH574)</f>
        <v>1</v>
      </c>
      <c r="AI574" s="1998">
        <f>IF(Construction!$F$31=Construction!$R$22,Oeko!CV574,Oeko!FI574)</f>
        <v>1</v>
      </c>
      <c r="AJ574" s="1998">
        <f>IF(Construction!$F$31=Construction!$R$22,Oeko!CW574,Oeko!FJ574)</f>
        <v>1</v>
      </c>
      <c r="AK574" s="1998">
        <f>IF(Construction!$F$31=Construction!$R$22,Oeko!CX574,Oeko!FK574)</f>
        <v>1</v>
      </c>
      <c r="AL574" s="1998">
        <f>IF(Construction!$F$31=Construction!$R$22,Oeko!CY574,Oeko!FL574)</f>
        <v>1</v>
      </c>
      <c r="AM574" s="1979">
        <f>IF(Construction!$F$31=Construction!$R$22,Oeko!CZ574,Oeko!FM574)</f>
        <v>1</v>
      </c>
      <c r="AN574" s="1979">
        <f>IF(Construction!$F$31=Construction!$R$22,Oeko!DA574,Oeko!FN574)</f>
        <v>1</v>
      </c>
      <c r="AO574" s="1979">
        <f>IF(Construction!$F$31=Construction!$R$22,Oeko!DB574,Oeko!FO574)</f>
        <v>1</v>
      </c>
      <c r="AP574" s="1979">
        <f>IF(Construction!$F$31=Construction!$R$22,Oeko!DC574,Oeko!FP574)</f>
        <v>1</v>
      </c>
      <c r="AQ574" s="1979">
        <f>IF(Construction!$F$31=Construction!$R$22,Oeko!DD574,Oeko!FQ574)</f>
        <v>1</v>
      </c>
      <c r="AR574" s="1998">
        <f>IF(Construction!$F$31=Construction!$R$22,Oeko!DE574,Oeko!FR574)</f>
        <v>1</v>
      </c>
      <c r="AS574" s="1998">
        <f>IF(Construction!$F$31=Construction!$R$22,Oeko!DF574,Oeko!FS574)</f>
        <v>1</v>
      </c>
      <c r="AT574" s="1998">
        <f>IF(Construction!$F$31=Construction!$R$22,Oeko!DG574,Oeko!FT574)</f>
        <v>1</v>
      </c>
      <c r="AU574" s="1998">
        <f>IF(Construction!$F$31=Construction!$R$22,Oeko!DH574,Oeko!FU574)</f>
        <v>1</v>
      </c>
      <c r="AV574" s="1998">
        <f>IF(Construction!$F$31=Construction!$R$22,Oeko!DI574,Oeko!FV574)</f>
        <v>1</v>
      </c>
      <c r="AW574" s="1979">
        <f>IF(Construction!$F$31=Construction!$R$22,Oeko!DJ574,Oeko!FW574)</f>
        <v>1</v>
      </c>
      <c r="AX574" s="1979">
        <f>IF(Construction!$F$31=Construction!$R$22,Oeko!DK574,Oeko!FX574)</f>
        <v>1</v>
      </c>
      <c r="AY574" s="1979">
        <f>IF(Construction!$F$31=Construction!$R$22,Oeko!DL574,Oeko!FY574)</f>
        <v>1</v>
      </c>
      <c r="AZ574" s="1979">
        <f>IF(Construction!$F$31=Construction!$R$22,Oeko!DM574,Oeko!FZ574)</f>
        <v>1</v>
      </c>
      <c r="BA574" s="1979">
        <f>IF(Construction!$F$31=Construction!$R$22,Oeko!DN574,Oeko!GA574)</f>
        <v>1</v>
      </c>
      <c r="BB574" s="1998">
        <f>IF(Construction!$F$31=Construction!$R$22,Oeko!DO574,Oeko!GB574)</f>
        <v>1</v>
      </c>
      <c r="BC574" s="1998">
        <f>IF(Construction!$F$31=Construction!$R$22,Oeko!DP574,Oeko!GC574)</f>
        <v>1</v>
      </c>
      <c r="BD574" s="1998">
        <f>IF(Construction!$F$31=Construction!$R$22,Oeko!DQ574,Oeko!GD574)</f>
        <v>1</v>
      </c>
      <c r="BE574" s="1998">
        <f>IF(Construction!$F$31=Construction!$R$22,Oeko!DR574,Oeko!GE574)</f>
        <v>1</v>
      </c>
      <c r="BF574" s="1998">
        <f>IF(Construction!$F$31=Construction!$R$22,Oeko!DS574,Oeko!GF574)</f>
        <v>1</v>
      </c>
      <c r="BG574" s="1979">
        <f>IF(Construction!$F$31=Construction!$R$22,Oeko!DT574,Oeko!GG574)</f>
        <v>1</v>
      </c>
      <c r="BH574" s="1979">
        <f>IF(Construction!$F$31=Construction!$R$22,Oeko!DU574,Oeko!GH574)</f>
        <v>1</v>
      </c>
      <c r="BI574" s="1979">
        <f>IF(Construction!$F$31=Construction!$R$22,Oeko!DV574,Oeko!GI574)</f>
        <v>1</v>
      </c>
      <c r="BJ574" s="1979">
        <f>IF(Construction!$F$31=Construction!$R$22,Oeko!DW574,Oeko!GJ574)</f>
        <v>1</v>
      </c>
      <c r="BK574" s="2021">
        <f>IF(Construction!$F$31=Construction!$R$22,Oeko!DX574,Oeko!GK574)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IF(Construction!$F$31=Construction!$R$22,Oeko!BQ575,Oeko!ED575)</f>
        <v>1</v>
      </c>
      <c r="E575" s="1998">
        <f>IF(Construction!$F$31=Construction!$R$22,Oeko!BR575,Oeko!EE575)</f>
        <v>1</v>
      </c>
      <c r="F575" s="1998">
        <f>IF(Construction!$F$31=Construction!$R$22,Oeko!BS575,Oeko!EF575)</f>
        <v>1</v>
      </c>
      <c r="G575" s="1998">
        <f>IF(Construction!$F$31=Construction!$R$22,Oeko!BT575,Oeko!EG575)</f>
        <v>1</v>
      </c>
      <c r="H575" s="1998">
        <f>IF(Construction!$F$31=Construction!$R$22,Oeko!BU575,Oeko!EH575)</f>
        <v>1</v>
      </c>
      <c r="I575" s="1979">
        <f>IF(Construction!$F$31=Construction!$R$22,Oeko!BV575,Oeko!EI575)</f>
        <v>1</v>
      </c>
      <c r="J575" s="1979">
        <f>IF(Construction!$F$31=Construction!$R$22,Oeko!BW575,Oeko!EJ575)</f>
        <v>1</v>
      </c>
      <c r="K575" s="1979">
        <f>IF(Construction!$F$31=Construction!$R$22,Oeko!BX575,Oeko!EK575)</f>
        <v>1</v>
      </c>
      <c r="L575" s="1979">
        <f>IF(Construction!$F$31=Construction!$R$22,Oeko!BY575,Oeko!EL575)</f>
        <v>1</v>
      </c>
      <c r="M575" s="1979">
        <f>IF(Construction!$F$31=Construction!$R$22,Oeko!BZ575,Oeko!EM575)</f>
        <v>1</v>
      </c>
      <c r="N575" s="1998">
        <f>IF(Construction!$F$31=Construction!$R$22,Oeko!CA575,Oeko!EN575)</f>
        <v>1</v>
      </c>
      <c r="O575" s="1998">
        <f>IF(Construction!$F$31=Construction!$R$22,Oeko!CB575,Oeko!EO575)</f>
        <v>1</v>
      </c>
      <c r="P575" s="1998">
        <f>IF(Construction!$F$31=Construction!$R$22,Oeko!CC575,Oeko!EP575)</f>
        <v>1</v>
      </c>
      <c r="Q575" s="1998">
        <f>IF(Construction!$F$31=Construction!$R$22,Oeko!CD575,Oeko!EQ575)</f>
        <v>1</v>
      </c>
      <c r="R575" s="1998">
        <f>IF(Construction!$F$31=Construction!$R$22,Oeko!CE575,Oeko!ER575)</f>
        <v>1</v>
      </c>
      <c r="S575" s="1979">
        <f>IF(Construction!$F$31=Construction!$R$22,Oeko!CF575,Oeko!ES575)</f>
        <v>1</v>
      </c>
      <c r="T575" s="1979">
        <f>IF(Construction!$F$31=Construction!$R$22,Oeko!CG575,Oeko!ET575)</f>
        <v>1</v>
      </c>
      <c r="U575" s="1979">
        <f>IF(Construction!$F$31=Construction!$R$22,Oeko!CH575,Oeko!EU575)</f>
        <v>1</v>
      </c>
      <c r="V575" s="1979">
        <f>IF(Construction!$F$31=Construction!$R$22,Oeko!CI575,Oeko!EV575)</f>
        <v>1</v>
      </c>
      <c r="W575" s="1979">
        <f>IF(Construction!$F$31=Construction!$R$22,Oeko!CJ575,Oeko!EW575)</f>
        <v>1</v>
      </c>
      <c r="X575" s="1998">
        <f>IF(Construction!$F$31=Construction!$R$22,Oeko!CK575,Oeko!EX575)</f>
        <v>1</v>
      </c>
      <c r="Y575" s="1998">
        <f>IF(Construction!$F$31=Construction!$R$22,Oeko!CL575,Oeko!EY575)</f>
        <v>1</v>
      </c>
      <c r="Z575" s="1998">
        <f>IF(Construction!$F$31=Construction!$R$22,Oeko!CM575,Oeko!EZ575)</f>
        <v>1</v>
      </c>
      <c r="AA575" s="1998">
        <f>IF(Construction!$F$31=Construction!$R$22,Oeko!CN575,Oeko!FA575)</f>
        <v>1</v>
      </c>
      <c r="AB575" s="1998">
        <f>IF(Construction!$F$31=Construction!$R$22,Oeko!CO575,Oeko!FB575)</f>
        <v>1</v>
      </c>
      <c r="AC575" s="1979">
        <f>IF(Construction!$F$31=Construction!$R$22,Oeko!CP575,Oeko!FC575)</f>
        <v>1</v>
      </c>
      <c r="AD575" s="1979">
        <f>IF(Construction!$F$31=Construction!$R$22,Oeko!CQ575,Oeko!FD575)</f>
        <v>1</v>
      </c>
      <c r="AE575" s="1979">
        <f>IF(Construction!$F$31=Construction!$R$22,Oeko!CR575,Oeko!FE575)</f>
        <v>1</v>
      </c>
      <c r="AF575" s="1979">
        <f>IF(Construction!$F$31=Construction!$R$22,Oeko!CS575,Oeko!FF575)</f>
        <v>1</v>
      </c>
      <c r="AG575" s="1979">
        <f>IF(Construction!$F$31=Construction!$R$22,Oeko!CT575,Oeko!FG575)</f>
        <v>1</v>
      </c>
      <c r="AH575" s="1998">
        <f>IF(Construction!$F$31=Construction!$R$22,Oeko!CU575,Oeko!FH575)</f>
        <v>1</v>
      </c>
      <c r="AI575" s="1998">
        <f>IF(Construction!$F$31=Construction!$R$22,Oeko!CV575,Oeko!FI575)</f>
        <v>1</v>
      </c>
      <c r="AJ575" s="1998">
        <f>IF(Construction!$F$31=Construction!$R$22,Oeko!CW575,Oeko!FJ575)</f>
        <v>1</v>
      </c>
      <c r="AK575" s="1998">
        <f>IF(Construction!$F$31=Construction!$R$22,Oeko!CX575,Oeko!FK575)</f>
        <v>1</v>
      </c>
      <c r="AL575" s="1998">
        <f>IF(Construction!$F$31=Construction!$R$22,Oeko!CY575,Oeko!FL575)</f>
        <v>1</v>
      </c>
      <c r="AM575" s="1979">
        <f>IF(Construction!$F$31=Construction!$R$22,Oeko!CZ575,Oeko!FM575)</f>
        <v>1</v>
      </c>
      <c r="AN575" s="1979">
        <f>IF(Construction!$F$31=Construction!$R$22,Oeko!DA575,Oeko!FN575)</f>
        <v>1</v>
      </c>
      <c r="AO575" s="1979">
        <f>IF(Construction!$F$31=Construction!$R$22,Oeko!DB575,Oeko!FO575)</f>
        <v>1</v>
      </c>
      <c r="AP575" s="1979">
        <f>IF(Construction!$F$31=Construction!$R$22,Oeko!DC575,Oeko!FP575)</f>
        <v>1</v>
      </c>
      <c r="AQ575" s="1979">
        <f>IF(Construction!$F$31=Construction!$R$22,Oeko!DD575,Oeko!FQ575)</f>
        <v>1</v>
      </c>
      <c r="AR575" s="1998">
        <f>IF(Construction!$F$31=Construction!$R$22,Oeko!DE575,Oeko!FR575)</f>
        <v>1</v>
      </c>
      <c r="AS575" s="1998">
        <f>IF(Construction!$F$31=Construction!$R$22,Oeko!DF575,Oeko!FS575)</f>
        <v>1</v>
      </c>
      <c r="AT575" s="1998">
        <f>IF(Construction!$F$31=Construction!$R$22,Oeko!DG575,Oeko!FT575)</f>
        <v>1</v>
      </c>
      <c r="AU575" s="1998">
        <f>IF(Construction!$F$31=Construction!$R$22,Oeko!DH575,Oeko!FU575)</f>
        <v>1</v>
      </c>
      <c r="AV575" s="1998">
        <f>IF(Construction!$F$31=Construction!$R$22,Oeko!DI575,Oeko!FV575)</f>
        <v>1</v>
      </c>
      <c r="AW575" s="1979">
        <f>IF(Construction!$F$31=Construction!$R$22,Oeko!DJ575,Oeko!FW575)</f>
        <v>1</v>
      </c>
      <c r="AX575" s="1979">
        <f>IF(Construction!$F$31=Construction!$R$22,Oeko!DK575,Oeko!FX575)</f>
        <v>1</v>
      </c>
      <c r="AY575" s="1979">
        <f>IF(Construction!$F$31=Construction!$R$22,Oeko!DL575,Oeko!FY575)</f>
        <v>1</v>
      </c>
      <c r="AZ575" s="1979">
        <f>IF(Construction!$F$31=Construction!$R$22,Oeko!DM575,Oeko!FZ575)</f>
        <v>1</v>
      </c>
      <c r="BA575" s="1979">
        <f>IF(Construction!$F$31=Construction!$R$22,Oeko!DN575,Oeko!GA575)</f>
        <v>1</v>
      </c>
      <c r="BB575" s="1998">
        <f>IF(Construction!$F$31=Construction!$R$22,Oeko!DO575,Oeko!GB575)</f>
        <v>1</v>
      </c>
      <c r="BC575" s="1998">
        <f>IF(Construction!$F$31=Construction!$R$22,Oeko!DP575,Oeko!GC575)</f>
        <v>1</v>
      </c>
      <c r="BD575" s="1998">
        <f>IF(Construction!$F$31=Construction!$R$22,Oeko!DQ575,Oeko!GD575)</f>
        <v>1</v>
      </c>
      <c r="BE575" s="1998">
        <f>IF(Construction!$F$31=Construction!$R$22,Oeko!DR575,Oeko!GE575)</f>
        <v>1</v>
      </c>
      <c r="BF575" s="1998">
        <f>IF(Construction!$F$31=Construction!$R$22,Oeko!DS575,Oeko!GF575)</f>
        <v>1</v>
      </c>
      <c r="BG575" s="1979">
        <f>IF(Construction!$F$31=Construction!$R$22,Oeko!DT575,Oeko!GG575)</f>
        <v>1</v>
      </c>
      <c r="BH575" s="1979">
        <f>IF(Construction!$F$31=Construction!$R$22,Oeko!DU575,Oeko!GH575)</f>
        <v>1</v>
      </c>
      <c r="BI575" s="1979">
        <f>IF(Construction!$F$31=Construction!$R$22,Oeko!DV575,Oeko!GI575)</f>
        <v>1</v>
      </c>
      <c r="BJ575" s="1979">
        <f>IF(Construction!$F$31=Construction!$R$22,Oeko!DW575,Oeko!GJ575)</f>
        <v>1</v>
      </c>
      <c r="BK575" s="2021">
        <f>IF(Construction!$F$31=Construction!$R$22,Oeko!DX575,Oeko!GK575)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IF(Construction!$F$31=Construction!$R$22,Oeko!BQ576,Oeko!ED576)</f>
        <v>1</v>
      </c>
      <c r="E576" s="1998">
        <f>IF(Construction!$F$31=Construction!$R$22,Oeko!BR576,Oeko!EE576)</f>
        <v>1</v>
      </c>
      <c r="F576" s="1998">
        <f>IF(Construction!$F$31=Construction!$R$22,Oeko!BS576,Oeko!EF576)</f>
        <v>1</v>
      </c>
      <c r="G576" s="1998">
        <f>IF(Construction!$F$31=Construction!$R$22,Oeko!BT576,Oeko!EG576)</f>
        <v>1</v>
      </c>
      <c r="H576" s="1998">
        <f>IF(Construction!$F$31=Construction!$R$22,Oeko!BU576,Oeko!EH576)</f>
        <v>1</v>
      </c>
      <c r="I576" s="1979">
        <f>IF(Construction!$F$31=Construction!$R$22,Oeko!BV576,Oeko!EI576)</f>
        <v>1</v>
      </c>
      <c r="J576" s="1979">
        <f>IF(Construction!$F$31=Construction!$R$22,Oeko!BW576,Oeko!EJ576)</f>
        <v>1</v>
      </c>
      <c r="K576" s="1979">
        <f>IF(Construction!$F$31=Construction!$R$22,Oeko!BX576,Oeko!EK576)</f>
        <v>1</v>
      </c>
      <c r="L576" s="1979">
        <f>IF(Construction!$F$31=Construction!$R$22,Oeko!BY576,Oeko!EL576)</f>
        <v>1</v>
      </c>
      <c r="M576" s="1979">
        <f>IF(Construction!$F$31=Construction!$R$22,Oeko!BZ576,Oeko!EM576)</f>
        <v>1</v>
      </c>
      <c r="N576" s="1998">
        <f>IF(Construction!$F$31=Construction!$R$22,Oeko!CA576,Oeko!EN576)</f>
        <v>1</v>
      </c>
      <c r="O576" s="1998">
        <f>IF(Construction!$F$31=Construction!$R$22,Oeko!CB576,Oeko!EO576)</f>
        <v>1</v>
      </c>
      <c r="P576" s="1998">
        <f>IF(Construction!$F$31=Construction!$R$22,Oeko!CC576,Oeko!EP576)</f>
        <v>1</v>
      </c>
      <c r="Q576" s="1998">
        <f>IF(Construction!$F$31=Construction!$R$22,Oeko!CD576,Oeko!EQ576)</f>
        <v>1</v>
      </c>
      <c r="R576" s="1998">
        <f>IF(Construction!$F$31=Construction!$R$22,Oeko!CE576,Oeko!ER576)</f>
        <v>1</v>
      </c>
      <c r="S576" s="1979">
        <f>IF(Construction!$F$31=Construction!$R$22,Oeko!CF576,Oeko!ES576)</f>
        <v>1</v>
      </c>
      <c r="T576" s="1979">
        <f>IF(Construction!$F$31=Construction!$R$22,Oeko!CG576,Oeko!ET576)</f>
        <v>1</v>
      </c>
      <c r="U576" s="1979">
        <f>IF(Construction!$F$31=Construction!$R$22,Oeko!CH576,Oeko!EU576)</f>
        <v>1</v>
      </c>
      <c r="V576" s="1979">
        <f>IF(Construction!$F$31=Construction!$R$22,Oeko!CI576,Oeko!EV576)</f>
        <v>1</v>
      </c>
      <c r="W576" s="1979">
        <f>IF(Construction!$F$31=Construction!$R$22,Oeko!CJ576,Oeko!EW576)</f>
        <v>1</v>
      </c>
      <c r="X576" s="1998">
        <f>IF(Construction!$F$31=Construction!$R$22,Oeko!CK576,Oeko!EX576)</f>
        <v>1</v>
      </c>
      <c r="Y576" s="1998">
        <f>IF(Construction!$F$31=Construction!$R$22,Oeko!CL576,Oeko!EY576)</f>
        <v>1</v>
      </c>
      <c r="Z576" s="1998">
        <f>IF(Construction!$F$31=Construction!$R$22,Oeko!CM576,Oeko!EZ576)</f>
        <v>1</v>
      </c>
      <c r="AA576" s="1998">
        <f>IF(Construction!$F$31=Construction!$R$22,Oeko!CN576,Oeko!FA576)</f>
        <v>1</v>
      </c>
      <c r="AB576" s="1998">
        <f>IF(Construction!$F$31=Construction!$R$22,Oeko!CO576,Oeko!FB576)</f>
        <v>1</v>
      </c>
      <c r="AC576" s="1979">
        <f>IF(Construction!$F$31=Construction!$R$22,Oeko!CP576,Oeko!FC576)</f>
        <v>1</v>
      </c>
      <c r="AD576" s="1979">
        <f>IF(Construction!$F$31=Construction!$R$22,Oeko!CQ576,Oeko!FD576)</f>
        <v>1</v>
      </c>
      <c r="AE576" s="1979">
        <f>IF(Construction!$F$31=Construction!$R$22,Oeko!CR576,Oeko!FE576)</f>
        <v>1</v>
      </c>
      <c r="AF576" s="1979">
        <f>IF(Construction!$F$31=Construction!$R$22,Oeko!CS576,Oeko!FF576)</f>
        <v>1</v>
      </c>
      <c r="AG576" s="1979">
        <f>IF(Construction!$F$31=Construction!$R$22,Oeko!CT576,Oeko!FG576)</f>
        <v>1</v>
      </c>
      <c r="AH576" s="1998">
        <f>IF(Construction!$F$31=Construction!$R$22,Oeko!CU576,Oeko!FH576)</f>
        <v>1</v>
      </c>
      <c r="AI576" s="1998">
        <f>IF(Construction!$F$31=Construction!$R$22,Oeko!CV576,Oeko!FI576)</f>
        <v>1</v>
      </c>
      <c r="AJ576" s="1998">
        <f>IF(Construction!$F$31=Construction!$R$22,Oeko!CW576,Oeko!FJ576)</f>
        <v>1</v>
      </c>
      <c r="AK576" s="1998">
        <f>IF(Construction!$F$31=Construction!$R$22,Oeko!CX576,Oeko!FK576)</f>
        <v>1</v>
      </c>
      <c r="AL576" s="1998">
        <f>IF(Construction!$F$31=Construction!$R$22,Oeko!CY576,Oeko!FL576)</f>
        <v>1</v>
      </c>
      <c r="AM576" s="1979">
        <f>IF(Construction!$F$31=Construction!$R$22,Oeko!CZ576,Oeko!FM576)</f>
        <v>1</v>
      </c>
      <c r="AN576" s="1979">
        <f>IF(Construction!$F$31=Construction!$R$22,Oeko!DA576,Oeko!FN576)</f>
        <v>1</v>
      </c>
      <c r="AO576" s="1979">
        <f>IF(Construction!$F$31=Construction!$R$22,Oeko!DB576,Oeko!FO576)</f>
        <v>1</v>
      </c>
      <c r="AP576" s="1979">
        <f>IF(Construction!$F$31=Construction!$R$22,Oeko!DC576,Oeko!FP576)</f>
        <v>1</v>
      </c>
      <c r="AQ576" s="1979">
        <f>IF(Construction!$F$31=Construction!$R$22,Oeko!DD576,Oeko!FQ576)</f>
        <v>1</v>
      </c>
      <c r="AR576" s="1998">
        <f>IF(Construction!$F$31=Construction!$R$22,Oeko!DE576,Oeko!FR576)</f>
        <v>1</v>
      </c>
      <c r="AS576" s="1998">
        <f>IF(Construction!$F$31=Construction!$R$22,Oeko!DF576,Oeko!FS576)</f>
        <v>1</v>
      </c>
      <c r="AT576" s="1998">
        <f>IF(Construction!$F$31=Construction!$R$22,Oeko!DG576,Oeko!FT576)</f>
        <v>1</v>
      </c>
      <c r="AU576" s="1998">
        <f>IF(Construction!$F$31=Construction!$R$22,Oeko!DH576,Oeko!FU576)</f>
        <v>1</v>
      </c>
      <c r="AV576" s="1998">
        <f>IF(Construction!$F$31=Construction!$R$22,Oeko!DI576,Oeko!FV576)</f>
        <v>1</v>
      </c>
      <c r="AW576" s="1979">
        <f>IF(Construction!$F$31=Construction!$R$22,Oeko!DJ576,Oeko!FW576)</f>
        <v>1</v>
      </c>
      <c r="AX576" s="1979">
        <f>IF(Construction!$F$31=Construction!$R$22,Oeko!DK576,Oeko!FX576)</f>
        <v>1</v>
      </c>
      <c r="AY576" s="1979">
        <f>IF(Construction!$F$31=Construction!$R$22,Oeko!DL576,Oeko!FY576)</f>
        <v>1</v>
      </c>
      <c r="AZ576" s="1979">
        <f>IF(Construction!$F$31=Construction!$R$22,Oeko!DM576,Oeko!FZ576)</f>
        <v>1</v>
      </c>
      <c r="BA576" s="1979">
        <f>IF(Construction!$F$31=Construction!$R$22,Oeko!DN576,Oeko!GA576)</f>
        <v>1</v>
      </c>
      <c r="BB576" s="1998">
        <f>IF(Construction!$F$31=Construction!$R$22,Oeko!DO576,Oeko!GB576)</f>
        <v>1</v>
      </c>
      <c r="BC576" s="1998">
        <f>IF(Construction!$F$31=Construction!$R$22,Oeko!DP576,Oeko!GC576)</f>
        <v>1</v>
      </c>
      <c r="BD576" s="1998">
        <f>IF(Construction!$F$31=Construction!$R$22,Oeko!DQ576,Oeko!GD576)</f>
        <v>1</v>
      </c>
      <c r="BE576" s="1998">
        <f>IF(Construction!$F$31=Construction!$R$22,Oeko!DR576,Oeko!GE576)</f>
        <v>1</v>
      </c>
      <c r="BF576" s="1998">
        <f>IF(Construction!$F$31=Construction!$R$22,Oeko!DS576,Oeko!GF576)</f>
        <v>1</v>
      </c>
      <c r="BG576" s="1979">
        <f>IF(Construction!$F$31=Construction!$R$22,Oeko!DT576,Oeko!GG576)</f>
        <v>1</v>
      </c>
      <c r="BH576" s="1979">
        <f>IF(Construction!$F$31=Construction!$R$22,Oeko!DU576,Oeko!GH576)</f>
        <v>1</v>
      </c>
      <c r="BI576" s="1979">
        <f>IF(Construction!$F$31=Construction!$R$22,Oeko!DV576,Oeko!GI576)</f>
        <v>1</v>
      </c>
      <c r="BJ576" s="1979">
        <f>IF(Construction!$F$31=Construction!$R$22,Oeko!DW576,Oeko!GJ576)</f>
        <v>1</v>
      </c>
      <c r="BK576" s="2021">
        <f>IF(Construction!$F$31=Construction!$R$22,Oeko!DX576,Oeko!GK576)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IF(Construction!$F$31=Construction!$R$22,Oeko!BQ577,Oeko!ED577)</f>
        <v>1</v>
      </c>
      <c r="E577" s="1998">
        <f>IF(Construction!$F$31=Construction!$R$22,Oeko!BR577,Oeko!EE577)</f>
        <v>1</v>
      </c>
      <c r="F577" s="1998">
        <f>IF(Construction!$F$31=Construction!$R$22,Oeko!BS577,Oeko!EF577)</f>
        <v>1</v>
      </c>
      <c r="G577" s="1998">
        <f>IF(Construction!$F$31=Construction!$R$22,Oeko!BT577,Oeko!EG577)</f>
        <v>1</v>
      </c>
      <c r="H577" s="1998">
        <f>IF(Construction!$F$31=Construction!$R$22,Oeko!BU577,Oeko!EH577)</f>
        <v>1</v>
      </c>
      <c r="I577" s="1979">
        <f>IF(Construction!$F$31=Construction!$R$22,Oeko!BV577,Oeko!EI577)</f>
        <v>1</v>
      </c>
      <c r="J577" s="1979">
        <f>IF(Construction!$F$31=Construction!$R$22,Oeko!BW577,Oeko!EJ577)</f>
        <v>1</v>
      </c>
      <c r="K577" s="1979">
        <f>IF(Construction!$F$31=Construction!$R$22,Oeko!BX577,Oeko!EK577)</f>
        <v>1</v>
      </c>
      <c r="L577" s="1979">
        <f>IF(Construction!$F$31=Construction!$R$22,Oeko!BY577,Oeko!EL577)</f>
        <v>1</v>
      </c>
      <c r="M577" s="1979">
        <f>IF(Construction!$F$31=Construction!$R$22,Oeko!BZ577,Oeko!EM577)</f>
        <v>1</v>
      </c>
      <c r="N577" s="1998">
        <f>IF(Construction!$F$31=Construction!$R$22,Oeko!CA577,Oeko!EN577)</f>
        <v>1</v>
      </c>
      <c r="O577" s="1998">
        <f>IF(Construction!$F$31=Construction!$R$22,Oeko!CB577,Oeko!EO577)</f>
        <v>1</v>
      </c>
      <c r="P577" s="1998">
        <f>IF(Construction!$F$31=Construction!$R$22,Oeko!CC577,Oeko!EP577)</f>
        <v>1</v>
      </c>
      <c r="Q577" s="1998">
        <f>IF(Construction!$F$31=Construction!$R$22,Oeko!CD577,Oeko!EQ577)</f>
        <v>1</v>
      </c>
      <c r="R577" s="1998">
        <f>IF(Construction!$F$31=Construction!$R$22,Oeko!CE577,Oeko!ER577)</f>
        <v>1</v>
      </c>
      <c r="S577" s="1979">
        <f>IF(Construction!$F$31=Construction!$R$22,Oeko!CF577,Oeko!ES577)</f>
        <v>1</v>
      </c>
      <c r="T577" s="1979">
        <f>IF(Construction!$F$31=Construction!$R$22,Oeko!CG577,Oeko!ET577)</f>
        <v>1</v>
      </c>
      <c r="U577" s="1979">
        <f>IF(Construction!$F$31=Construction!$R$22,Oeko!CH577,Oeko!EU577)</f>
        <v>1</v>
      </c>
      <c r="V577" s="1979">
        <f>IF(Construction!$F$31=Construction!$R$22,Oeko!CI577,Oeko!EV577)</f>
        <v>1</v>
      </c>
      <c r="W577" s="1979">
        <f>IF(Construction!$F$31=Construction!$R$22,Oeko!CJ577,Oeko!EW577)</f>
        <v>1</v>
      </c>
      <c r="X577" s="1998">
        <f>IF(Construction!$F$31=Construction!$R$22,Oeko!CK577,Oeko!EX577)</f>
        <v>1</v>
      </c>
      <c r="Y577" s="1998">
        <f>IF(Construction!$F$31=Construction!$R$22,Oeko!CL577,Oeko!EY577)</f>
        <v>1</v>
      </c>
      <c r="Z577" s="1998">
        <f>IF(Construction!$F$31=Construction!$R$22,Oeko!CM577,Oeko!EZ577)</f>
        <v>1</v>
      </c>
      <c r="AA577" s="1998">
        <f>IF(Construction!$F$31=Construction!$R$22,Oeko!CN577,Oeko!FA577)</f>
        <v>1</v>
      </c>
      <c r="AB577" s="1998">
        <f>IF(Construction!$F$31=Construction!$R$22,Oeko!CO577,Oeko!FB577)</f>
        <v>1</v>
      </c>
      <c r="AC577" s="1979">
        <f>IF(Construction!$F$31=Construction!$R$22,Oeko!CP577,Oeko!FC577)</f>
        <v>1</v>
      </c>
      <c r="AD577" s="1979">
        <f>IF(Construction!$F$31=Construction!$R$22,Oeko!CQ577,Oeko!FD577)</f>
        <v>1</v>
      </c>
      <c r="AE577" s="1979">
        <f>IF(Construction!$F$31=Construction!$R$22,Oeko!CR577,Oeko!FE577)</f>
        <v>1</v>
      </c>
      <c r="AF577" s="1979">
        <f>IF(Construction!$F$31=Construction!$R$22,Oeko!CS577,Oeko!FF577)</f>
        <v>1</v>
      </c>
      <c r="AG577" s="1979">
        <f>IF(Construction!$F$31=Construction!$R$22,Oeko!CT577,Oeko!FG577)</f>
        <v>1</v>
      </c>
      <c r="AH577" s="1998">
        <f>IF(Construction!$F$31=Construction!$R$22,Oeko!CU577,Oeko!FH577)</f>
        <v>1</v>
      </c>
      <c r="AI577" s="1998">
        <f>IF(Construction!$F$31=Construction!$R$22,Oeko!CV577,Oeko!FI577)</f>
        <v>1</v>
      </c>
      <c r="AJ577" s="1998">
        <f>IF(Construction!$F$31=Construction!$R$22,Oeko!CW577,Oeko!FJ577)</f>
        <v>1</v>
      </c>
      <c r="AK577" s="1998">
        <f>IF(Construction!$F$31=Construction!$R$22,Oeko!CX577,Oeko!FK577)</f>
        <v>1</v>
      </c>
      <c r="AL577" s="1998">
        <f>IF(Construction!$F$31=Construction!$R$22,Oeko!CY577,Oeko!FL577)</f>
        <v>1</v>
      </c>
      <c r="AM577" s="1979">
        <f>IF(Construction!$F$31=Construction!$R$22,Oeko!CZ577,Oeko!FM577)</f>
        <v>1</v>
      </c>
      <c r="AN577" s="1979">
        <f>IF(Construction!$F$31=Construction!$R$22,Oeko!DA577,Oeko!FN577)</f>
        <v>1</v>
      </c>
      <c r="AO577" s="1979">
        <f>IF(Construction!$F$31=Construction!$R$22,Oeko!DB577,Oeko!FO577)</f>
        <v>1</v>
      </c>
      <c r="AP577" s="1979">
        <f>IF(Construction!$F$31=Construction!$R$22,Oeko!DC577,Oeko!FP577)</f>
        <v>1</v>
      </c>
      <c r="AQ577" s="1979">
        <f>IF(Construction!$F$31=Construction!$R$22,Oeko!DD577,Oeko!FQ577)</f>
        <v>1</v>
      </c>
      <c r="AR577" s="1998">
        <f>IF(Construction!$F$31=Construction!$R$22,Oeko!DE577,Oeko!FR577)</f>
        <v>1</v>
      </c>
      <c r="AS577" s="1998">
        <f>IF(Construction!$F$31=Construction!$R$22,Oeko!DF577,Oeko!FS577)</f>
        <v>1</v>
      </c>
      <c r="AT577" s="1998">
        <f>IF(Construction!$F$31=Construction!$R$22,Oeko!DG577,Oeko!FT577)</f>
        <v>1</v>
      </c>
      <c r="AU577" s="1998">
        <f>IF(Construction!$F$31=Construction!$R$22,Oeko!DH577,Oeko!FU577)</f>
        <v>1</v>
      </c>
      <c r="AV577" s="1998">
        <f>IF(Construction!$F$31=Construction!$R$22,Oeko!DI577,Oeko!FV577)</f>
        <v>1</v>
      </c>
      <c r="AW577" s="1979">
        <f>IF(Construction!$F$31=Construction!$R$22,Oeko!DJ577,Oeko!FW577)</f>
        <v>1</v>
      </c>
      <c r="AX577" s="1979">
        <f>IF(Construction!$F$31=Construction!$R$22,Oeko!DK577,Oeko!FX577)</f>
        <v>1</v>
      </c>
      <c r="AY577" s="1979">
        <f>IF(Construction!$F$31=Construction!$R$22,Oeko!DL577,Oeko!FY577)</f>
        <v>1</v>
      </c>
      <c r="AZ577" s="1979">
        <f>IF(Construction!$F$31=Construction!$R$22,Oeko!DM577,Oeko!FZ577)</f>
        <v>1</v>
      </c>
      <c r="BA577" s="1979">
        <f>IF(Construction!$F$31=Construction!$R$22,Oeko!DN577,Oeko!GA577)</f>
        <v>1</v>
      </c>
      <c r="BB577" s="1998">
        <f>IF(Construction!$F$31=Construction!$R$22,Oeko!DO577,Oeko!GB577)</f>
        <v>1</v>
      </c>
      <c r="BC577" s="1998">
        <f>IF(Construction!$F$31=Construction!$R$22,Oeko!DP577,Oeko!GC577)</f>
        <v>1</v>
      </c>
      <c r="BD577" s="1998">
        <f>IF(Construction!$F$31=Construction!$R$22,Oeko!DQ577,Oeko!GD577)</f>
        <v>1</v>
      </c>
      <c r="BE577" s="1998">
        <f>IF(Construction!$F$31=Construction!$R$22,Oeko!DR577,Oeko!GE577)</f>
        <v>1</v>
      </c>
      <c r="BF577" s="1998">
        <f>IF(Construction!$F$31=Construction!$R$22,Oeko!DS577,Oeko!GF577)</f>
        <v>1</v>
      </c>
      <c r="BG577" s="1979">
        <f>IF(Construction!$F$31=Construction!$R$22,Oeko!DT577,Oeko!GG577)</f>
        <v>1</v>
      </c>
      <c r="BH577" s="1979">
        <f>IF(Construction!$F$31=Construction!$R$22,Oeko!DU577,Oeko!GH577)</f>
        <v>1</v>
      </c>
      <c r="BI577" s="1979">
        <f>IF(Construction!$F$31=Construction!$R$22,Oeko!DV577,Oeko!GI577)</f>
        <v>1</v>
      </c>
      <c r="BJ577" s="1979">
        <f>IF(Construction!$F$31=Construction!$R$22,Oeko!DW577,Oeko!GJ577)</f>
        <v>1</v>
      </c>
      <c r="BK577" s="2021">
        <f>IF(Construction!$F$31=Construction!$R$22,Oeko!DX577,Oeko!GK577)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IF(Construction!$F$31=Construction!$R$22,Oeko!BQ578,Oeko!ED578)</f>
        <v>1</v>
      </c>
      <c r="E578" s="1998">
        <f>IF(Construction!$F$31=Construction!$R$22,Oeko!BR578,Oeko!EE578)</f>
        <v>1</v>
      </c>
      <c r="F578" s="1998">
        <f>IF(Construction!$F$31=Construction!$R$22,Oeko!BS578,Oeko!EF578)</f>
        <v>1</v>
      </c>
      <c r="G578" s="1998">
        <f>IF(Construction!$F$31=Construction!$R$22,Oeko!BT578,Oeko!EG578)</f>
        <v>1</v>
      </c>
      <c r="H578" s="1998">
        <f>IF(Construction!$F$31=Construction!$R$22,Oeko!BU578,Oeko!EH578)</f>
        <v>1</v>
      </c>
      <c r="I578" s="1979">
        <f>IF(Construction!$F$31=Construction!$R$22,Oeko!BV578,Oeko!EI578)</f>
        <v>1</v>
      </c>
      <c r="J578" s="1979">
        <f>IF(Construction!$F$31=Construction!$R$22,Oeko!BW578,Oeko!EJ578)</f>
        <v>1</v>
      </c>
      <c r="K578" s="1979">
        <f>IF(Construction!$F$31=Construction!$R$22,Oeko!BX578,Oeko!EK578)</f>
        <v>1</v>
      </c>
      <c r="L578" s="1979">
        <f>IF(Construction!$F$31=Construction!$R$22,Oeko!BY578,Oeko!EL578)</f>
        <v>1</v>
      </c>
      <c r="M578" s="1979">
        <f>IF(Construction!$F$31=Construction!$R$22,Oeko!BZ578,Oeko!EM578)</f>
        <v>1</v>
      </c>
      <c r="N578" s="1998">
        <f>IF(Construction!$F$31=Construction!$R$22,Oeko!CA578,Oeko!EN578)</f>
        <v>1</v>
      </c>
      <c r="O578" s="1998">
        <f>IF(Construction!$F$31=Construction!$R$22,Oeko!CB578,Oeko!EO578)</f>
        <v>1</v>
      </c>
      <c r="P578" s="1998">
        <f>IF(Construction!$F$31=Construction!$R$22,Oeko!CC578,Oeko!EP578)</f>
        <v>1</v>
      </c>
      <c r="Q578" s="1998">
        <f>IF(Construction!$F$31=Construction!$R$22,Oeko!CD578,Oeko!EQ578)</f>
        <v>1</v>
      </c>
      <c r="R578" s="1998">
        <f>IF(Construction!$F$31=Construction!$R$22,Oeko!CE578,Oeko!ER578)</f>
        <v>1</v>
      </c>
      <c r="S578" s="1979">
        <f>IF(Construction!$F$31=Construction!$R$22,Oeko!CF578,Oeko!ES578)</f>
        <v>1</v>
      </c>
      <c r="T578" s="1979">
        <f>IF(Construction!$F$31=Construction!$R$22,Oeko!CG578,Oeko!ET578)</f>
        <v>1</v>
      </c>
      <c r="U578" s="1979">
        <f>IF(Construction!$F$31=Construction!$R$22,Oeko!CH578,Oeko!EU578)</f>
        <v>1</v>
      </c>
      <c r="V578" s="1979">
        <f>IF(Construction!$F$31=Construction!$R$22,Oeko!CI578,Oeko!EV578)</f>
        <v>1</v>
      </c>
      <c r="W578" s="1979">
        <f>IF(Construction!$F$31=Construction!$R$22,Oeko!CJ578,Oeko!EW578)</f>
        <v>1</v>
      </c>
      <c r="X578" s="1998">
        <f>IF(Construction!$F$31=Construction!$R$22,Oeko!CK578,Oeko!EX578)</f>
        <v>1</v>
      </c>
      <c r="Y578" s="1998">
        <f>IF(Construction!$F$31=Construction!$R$22,Oeko!CL578,Oeko!EY578)</f>
        <v>1</v>
      </c>
      <c r="Z578" s="1998">
        <f>IF(Construction!$F$31=Construction!$R$22,Oeko!CM578,Oeko!EZ578)</f>
        <v>1</v>
      </c>
      <c r="AA578" s="1998">
        <f>IF(Construction!$F$31=Construction!$R$22,Oeko!CN578,Oeko!FA578)</f>
        <v>1</v>
      </c>
      <c r="AB578" s="1998">
        <f>IF(Construction!$F$31=Construction!$R$22,Oeko!CO578,Oeko!FB578)</f>
        <v>1</v>
      </c>
      <c r="AC578" s="1979">
        <f>IF(Construction!$F$31=Construction!$R$22,Oeko!CP578,Oeko!FC578)</f>
        <v>1</v>
      </c>
      <c r="AD578" s="1979">
        <f>IF(Construction!$F$31=Construction!$R$22,Oeko!CQ578,Oeko!FD578)</f>
        <v>1</v>
      </c>
      <c r="AE578" s="1979">
        <f>IF(Construction!$F$31=Construction!$R$22,Oeko!CR578,Oeko!FE578)</f>
        <v>1</v>
      </c>
      <c r="AF578" s="1979">
        <f>IF(Construction!$F$31=Construction!$R$22,Oeko!CS578,Oeko!FF578)</f>
        <v>1</v>
      </c>
      <c r="AG578" s="1979">
        <f>IF(Construction!$F$31=Construction!$R$22,Oeko!CT578,Oeko!FG578)</f>
        <v>1</v>
      </c>
      <c r="AH578" s="1998">
        <f>IF(Construction!$F$31=Construction!$R$22,Oeko!CU578,Oeko!FH578)</f>
        <v>1</v>
      </c>
      <c r="AI578" s="1998">
        <f>IF(Construction!$F$31=Construction!$R$22,Oeko!CV578,Oeko!FI578)</f>
        <v>1</v>
      </c>
      <c r="AJ578" s="1998">
        <f>IF(Construction!$F$31=Construction!$R$22,Oeko!CW578,Oeko!FJ578)</f>
        <v>1</v>
      </c>
      <c r="AK578" s="1998">
        <f>IF(Construction!$F$31=Construction!$R$22,Oeko!CX578,Oeko!FK578)</f>
        <v>1</v>
      </c>
      <c r="AL578" s="1998">
        <f>IF(Construction!$F$31=Construction!$R$22,Oeko!CY578,Oeko!FL578)</f>
        <v>1</v>
      </c>
      <c r="AM578" s="1979">
        <f>IF(Construction!$F$31=Construction!$R$22,Oeko!CZ578,Oeko!FM578)</f>
        <v>1</v>
      </c>
      <c r="AN578" s="1979">
        <f>IF(Construction!$F$31=Construction!$R$22,Oeko!DA578,Oeko!FN578)</f>
        <v>1</v>
      </c>
      <c r="AO578" s="1979">
        <f>IF(Construction!$F$31=Construction!$R$22,Oeko!DB578,Oeko!FO578)</f>
        <v>1</v>
      </c>
      <c r="AP578" s="1979">
        <f>IF(Construction!$F$31=Construction!$R$22,Oeko!DC578,Oeko!FP578)</f>
        <v>1</v>
      </c>
      <c r="AQ578" s="1979">
        <f>IF(Construction!$F$31=Construction!$R$22,Oeko!DD578,Oeko!FQ578)</f>
        <v>1</v>
      </c>
      <c r="AR578" s="1998">
        <f>IF(Construction!$F$31=Construction!$R$22,Oeko!DE578,Oeko!FR578)</f>
        <v>1</v>
      </c>
      <c r="AS578" s="1998">
        <f>IF(Construction!$F$31=Construction!$R$22,Oeko!DF578,Oeko!FS578)</f>
        <v>1</v>
      </c>
      <c r="AT578" s="1998">
        <f>IF(Construction!$F$31=Construction!$R$22,Oeko!DG578,Oeko!FT578)</f>
        <v>1</v>
      </c>
      <c r="AU578" s="1998">
        <f>IF(Construction!$F$31=Construction!$R$22,Oeko!DH578,Oeko!FU578)</f>
        <v>1</v>
      </c>
      <c r="AV578" s="1998">
        <f>IF(Construction!$F$31=Construction!$R$22,Oeko!DI578,Oeko!FV578)</f>
        <v>1</v>
      </c>
      <c r="AW578" s="1979">
        <f>IF(Construction!$F$31=Construction!$R$22,Oeko!DJ578,Oeko!FW578)</f>
        <v>1</v>
      </c>
      <c r="AX578" s="1979">
        <f>IF(Construction!$F$31=Construction!$R$22,Oeko!DK578,Oeko!FX578)</f>
        <v>1</v>
      </c>
      <c r="AY578" s="1979">
        <f>IF(Construction!$F$31=Construction!$R$22,Oeko!DL578,Oeko!FY578)</f>
        <v>1</v>
      </c>
      <c r="AZ578" s="1979">
        <f>IF(Construction!$F$31=Construction!$R$22,Oeko!DM578,Oeko!FZ578)</f>
        <v>1</v>
      </c>
      <c r="BA578" s="1979">
        <f>IF(Construction!$F$31=Construction!$R$22,Oeko!DN578,Oeko!GA578)</f>
        <v>1</v>
      </c>
      <c r="BB578" s="1998">
        <f>IF(Construction!$F$31=Construction!$R$22,Oeko!DO578,Oeko!GB578)</f>
        <v>1</v>
      </c>
      <c r="BC578" s="1998">
        <f>IF(Construction!$F$31=Construction!$R$22,Oeko!DP578,Oeko!GC578)</f>
        <v>1</v>
      </c>
      <c r="BD578" s="1998">
        <f>IF(Construction!$F$31=Construction!$R$22,Oeko!DQ578,Oeko!GD578)</f>
        <v>1</v>
      </c>
      <c r="BE578" s="1998">
        <f>IF(Construction!$F$31=Construction!$R$22,Oeko!DR578,Oeko!GE578)</f>
        <v>1</v>
      </c>
      <c r="BF578" s="1998">
        <f>IF(Construction!$F$31=Construction!$R$22,Oeko!DS578,Oeko!GF578)</f>
        <v>1</v>
      </c>
      <c r="BG578" s="1979">
        <f>IF(Construction!$F$31=Construction!$R$22,Oeko!DT578,Oeko!GG578)</f>
        <v>1</v>
      </c>
      <c r="BH578" s="1979">
        <f>IF(Construction!$F$31=Construction!$R$22,Oeko!DU578,Oeko!GH578)</f>
        <v>1</v>
      </c>
      <c r="BI578" s="1979">
        <f>IF(Construction!$F$31=Construction!$R$22,Oeko!DV578,Oeko!GI578)</f>
        <v>1</v>
      </c>
      <c r="BJ578" s="1979">
        <f>IF(Construction!$F$31=Construction!$R$22,Oeko!DW578,Oeko!GJ578)</f>
        <v>1</v>
      </c>
      <c r="BK578" s="2021">
        <f>IF(Construction!$F$31=Construction!$R$22,Oeko!DX578,Oeko!GK578)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IF(Construction!$F$31=Construction!$R$22,Oeko!BQ579,Oeko!ED579)</f>
        <v>1</v>
      </c>
      <c r="E579" s="2032">
        <f>IF(Construction!$F$31=Construction!$R$22,Oeko!BR579,Oeko!EE579)</f>
        <v>1</v>
      </c>
      <c r="F579" s="2032">
        <f>IF(Construction!$F$31=Construction!$R$22,Oeko!BS579,Oeko!EF579)</f>
        <v>1</v>
      </c>
      <c r="G579" s="2032">
        <f>IF(Construction!$F$31=Construction!$R$22,Oeko!BT579,Oeko!EG579)</f>
        <v>1</v>
      </c>
      <c r="H579" s="2032">
        <f>IF(Construction!$F$31=Construction!$R$22,Oeko!BU579,Oeko!EH579)</f>
        <v>1</v>
      </c>
      <c r="I579" s="2033">
        <f>IF(Construction!$F$31=Construction!$R$22,Oeko!BV579,Oeko!EI579)</f>
        <v>1</v>
      </c>
      <c r="J579" s="2033">
        <f>IF(Construction!$F$31=Construction!$R$22,Oeko!BW579,Oeko!EJ579)</f>
        <v>1</v>
      </c>
      <c r="K579" s="2033">
        <f>IF(Construction!$F$31=Construction!$R$22,Oeko!BX579,Oeko!EK579)</f>
        <v>1</v>
      </c>
      <c r="L579" s="2033">
        <f>IF(Construction!$F$31=Construction!$R$22,Oeko!BY579,Oeko!EL579)</f>
        <v>1</v>
      </c>
      <c r="M579" s="2033">
        <f>IF(Construction!$F$31=Construction!$R$22,Oeko!BZ579,Oeko!EM579)</f>
        <v>1</v>
      </c>
      <c r="N579" s="2032">
        <f>IF(Construction!$F$31=Construction!$R$22,Oeko!CA579,Oeko!EN579)</f>
        <v>1</v>
      </c>
      <c r="O579" s="2032">
        <f>IF(Construction!$F$31=Construction!$R$22,Oeko!CB579,Oeko!EO579)</f>
        <v>1</v>
      </c>
      <c r="P579" s="2032">
        <f>IF(Construction!$F$31=Construction!$R$22,Oeko!CC579,Oeko!EP579)</f>
        <v>1</v>
      </c>
      <c r="Q579" s="2032">
        <f>IF(Construction!$F$31=Construction!$R$22,Oeko!CD579,Oeko!EQ579)</f>
        <v>1</v>
      </c>
      <c r="R579" s="2032">
        <f>IF(Construction!$F$31=Construction!$R$22,Oeko!CE579,Oeko!ER579)</f>
        <v>1</v>
      </c>
      <c r="S579" s="2033">
        <f>IF(Construction!$F$31=Construction!$R$22,Oeko!CF579,Oeko!ES579)</f>
        <v>1</v>
      </c>
      <c r="T579" s="2033">
        <f>IF(Construction!$F$31=Construction!$R$22,Oeko!CG579,Oeko!ET579)</f>
        <v>1</v>
      </c>
      <c r="U579" s="2033">
        <f>IF(Construction!$F$31=Construction!$R$22,Oeko!CH579,Oeko!EU579)</f>
        <v>1</v>
      </c>
      <c r="V579" s="2033">
        <f>IF(Construction!$F$31=Construction!$R$22,Oeko!CI579,Oeko!EV579)</f>
        <v>1</v>
      </c>
      <c r="W579" s="2033">
        <f>IF(Construction!$F$31=Construction!$R$22,Oeko!CJ579,Oeko!EW579)</f>
        <v>1</v>
      </c>
      <c r="X579" s="2032">
        <f>IF(Construction!$F$31=Construction!$R$22,Oeko!CK579,Oeko!EX579)</f>
        <v>1</v>
      </c>
      <c r="Y579" s="2032">
        <f>IF(Construction!$F$31=Construction!$R$22,Oeko!CL579,Oeko!EY579)</f>
        <v>1</v>
      </c>
      <c r="Z579" s="2032">
        <f>IF(Construction!$F$31=Construction!$R$22,Oeko!CM579,Oeko!EZ579)</f>
        <v>1</v>
      </c>
      <c r="AA579" s="2032">
        <f>IF(Construction!$F$31=Construction!$R$22,Oeko!CN579,Oeko!FA579)</f>
        <v>1</v>
      </c>
      <c r="AB579" s="2032">
        <f>IF(Construction!$F$31=Construction!$R$22,Oeko!CO579,Oeko!FB579)</f>
        <v>1</v>
      </c>
      <c r="AC579" s="2033">
        <f>IF(Construction!$F$31=Construction!$R$22,Oeko!CP579,Oeko!FC579)</f>
        <v>1</v>
      </c>
      <c r="AD579" s="2033">
        <f>IF(Construction!$F$31=Construction!$R$22,Oeko!CQ579,Oeko!FD579)</f>
        <v>1</v>
      </c>
      <c r="AE579" s="2033">
        <f>IF(Construction!$F$31=Construction!$R$22,Oeko!CR579,Oeko!FE579)</f>
        <v>1</v>
      </c>
      <c r="AF579" s="2033">
        <f>IF(Construction!$F$31=Construction!$R$22,Oeko!CS579,Oeko!FF579)</f>
        <v>1</v>
      </c>
      <c r="AG579" s="2033">
        <f>IF(Construction!$F$31=Construction!$R$22,Oeko!CT579,Oeko!FG579)</f>
        <v>1</v>
      </c>
      <c r="AH579" s="2032">
        <f>IF(Construction!$F$31=Construction!$R$22,Oeko!CU579,Oeko!FH579)</f>
        <v>1</v>
      </c>
      <c r="AI579" s="2032">
        <f>IF(Construction!$F$31=Construction!$R$22,Oeko!CV579,Oeko!FI579)</f>
        <v>1</v>
      </c>
      <c r="AJ579" s="2032">
        <f>IF(Construction!$F$31=Construction!$R$22,Oeko!CW579,Oeko!FJ579)</f>
        <v>1</v>
      </c>
      <c r="AK579" s="2032">
        <f>IF(Construction!$F$31=Construction!$R$22,Oeko!CX579,Oeko!FK579)</f>
        <v>1</v>
      </c>
      <c r="AL579" s="2032">
        <f>IF(Construction!$F$31=Construction!$R$22,Oeko!CY579,Oeko!FL579)</f>
        <v>1</v>
      </c>
      <c r="AM579" s="2033">
        <f>IF(Construction!$F$31=Construction!$R$22,Oeko!CZ579,Oeko!FM579)</f>
        <v>1</v>
      </c>
      <c r="AN579" s="2033">
        <f>IF(Construction!$F$31=Construction!$R$22,Oeko!DA579,Oeko!FN579)</f>
        <v>1</v>
      </c>
      <c r="AO579" s="2033">
        <f>IF(Construction!$F$31=Construction!$R$22,Oeko!DB579,Oeko!FO579)</f>
        <v>1</v>
      </c>
      <c r="AP579" s="2033">
        <f>IF(Construction!$F$31=Construction!$R$22,Oeko!DC579,Oeko!FP579)</f>
        <v>1</v>
      </c>
      <c r="AQ579" s="2033">
        <f>IF(Construction!$F$31=Construction!$R$22,Oeko!DD579,Oeko!FQ579)</f>
        <v>1</v>
      </c>
      <c r="AR579" s="2032">
        <f>IF(Construction!$F$31=Construction!$R$22,Oeko!DE579,Oeko!FR579)</f>
        <v>1</v>
      </c>
      <c r="AS579" s="2032">
        <f>IF(Construction!$F$31=Construction!$R$22,Oeko!DF579,Oeko!FS579)</f>
        <v>1</v>
      </c>
      <c r="AT579" s="2032">
        <f>IF(Construction!$F$31=Construction!$R$22,Oeko!DG579,Oeko!FT579)</f>
        <v>1</v>
      </c>
      <c r="AU579" s="2032">
        <f>IF(Construction!$F$31=Construction!$R$22,Oeko!DH579,Oeko!FU579)</f>
        <v>1</v>
      </c>
      <c r="AV579" s="2032">
        <f>IF(Construction!$F$31=Construction!$R$22,Oeko!DI579,Oeko!FV579)</f>
        <v>1</v>
      </c>
      <c r="AW579" s="2033">
        <f>IF(Construction!$F$31=Construction!$R$22,Oeko!DJ579,Oeko!FW579)</f>
        <v>1</v>
      </c>
      <c r="AX579" s="2033">
        <f>IF(Construction!$F$31=Construction!$R$22,Oeko!DK579,Oeko!FX579)</f>
        <v>1</v>
      </c>
      <c r="AY579" s="2033">
        <f>IF(Construction!$F$31=Construction!$R$22,Oeko!DL579,Oeko!FY579)</f>
        <v>1</v>
      </c>
      <c r="AZ579" s="2033">
        <f>IF(Construction!$F$31=Construction!$R$22,Oeko!DM579,Oeko!FZ579)</f>
        <v>1</v>
      </c>
      <c r="BA579" s="2033">
        <f>IF(Construction!$F$31=Construction!$R$22,Oeko!DN579,Oeko!GA579)</f>
        <v>1</v>
      </c>
      <c r="BB579" s="2032">
        <f>IF(Construction!$F$31=Construction!$R$22,Oeko!DO579,Oeko!GB579)</f>
        <v>1</v>
      </c>
      <c r="BC579" s="2032">
        <f>IF(Construction!$F$31=Construction!$R$22,Oeko!DP579,Oeko!GC579)</f>
        <v>1</v>
      </c>
      <c r="BD579" s="2032">
        <f>IF(Construction!$F$31=Construction!$R$22,Oeko!DQ579,Oeko!GD579)</f>
        <v>1</v>
      </c>
      <c r="BE579" s="2032">
        <f>IF(Construction!$F$31=Construction!$R$22,Oeko!DR579,Oeko!GE579)</f>
        <v>1</v>
      </c>
      <c r="BF579" s="2032">
        <f>IF(Construction!$F$31=Construction!$R$22,Oeko!DS579,Oeko!GF579)</f>
        <v>1</v>
      </c>
      <c r="BG579" s="2033">
        <f>IF(Construction!$F$31=Construction!$R$22,Oeko!DT579,Oeko!GG579)</f>
        <v>1</v>
      </c>
      <c r="BH579" s="2033">
        <f>IF(Construction!$F$31=Construction!$R$22,Oeko!DU579,Oeko!GH579)</f>
        <v>1</v>
      </c>
      <c r="BI579" s="2033">
        <f>IF(Construction!$F$31=Construction!$R$22,Oeko!DV579,Oeko!GI579)</f>
        <v>1</v>
      </c>
      <c r="BJ579" s="2033">
        <f>IF(Construction!$F$31=Construction!$R$22,Oeko!DW579,Oeko!GJ579)</f>
        <v>1</v>
      </c>
      <c r="BK579" s="2034">
        <f>IF(Construction!$F$31=Construction!$R$22,Oeko!DX579,Oeko!GK579)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Habitat collectif</v>
      </c>
      <c r="F625" s="1963"/>
      <c r="G625" s="1924" t="str">
        <f>G644</f>
        <v>Habitat individuel</v>
      </c>
      <c r="H625" s="1963"/>
      <c r="I625" s="1924" t="str">
        <f>K644</f>
        <v>Restaurant</v>
      </c>
      <c r="J625" s="1963"/>
      <c r="K625" s="1924" t="str">
        <f>L644</f>
        <v>Lieu de rassemblement</v>
      </c>
      <c r="L625" s="1963"/>
      <c r="M625" s="2037" t="str">
        <f>L644</f>
        <v>Lieu de rassemblement</v>
      </c>
      <c r="N625" s="1973" t="str">
        <f>H644</f>
        <v>Administration</v>
      </c>
      <c r="O625" s="2037" t="str">
        <f>I644</f>
        <v>Ecole</v>
      </c>
      <c r="P625" s="1973" t="str">
        <f>J644</f>
        <v>Commerce</v>
      </c>
      <c r="Q625" s="1927" t="str">
        <f>M644</f>
        <v>Hôpital</v>
      </c>
      <c r="R625" s="2037" t="str">
        <f>N644</f>
        <v>Industrie</v>
      </c>
      <c r="S625" s="1927" t="str">
        <f>O644</f>
        <v>Entrepôt</v>
      </c>
      <c r="T625" s="2037" t="str">
        <f>P644</f>
        <v>Installation sportive</v>
      </c>
      <c r="U625" s="1973" t="str">
        <f>Q644</f>
        <v>Piscine couverte</v>
      </c>
      <c r="AE625" s="2" t="str">
        <f t="shared" ref="AE625:AE636" si="6">AN9</f>
        <v>Habitat collectif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Habitat individuel</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Administration</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Ecole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Commerce</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Lieu de rassemblement</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Hôpital</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Entrepôt</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Installation sportive</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Piscine couverte</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Habitat collectif</v>
      </c>
      <c r="G644" s="2042" t="str">
        <f>$AN$10</f>
        <v>Habitat individuel</v>
      </c>
      <c r="H644" s="2042" t="str">
        <f>$AN$11</f>
        <v>Administration</v>
      </c>
      <c r="I644" s="2042" t="str">
        <f>$AN$12</f>
        <v>Ecole</v>
      </c>
      <c r="J644" s="2042" t="str">
        <f>$AN$13</f>
        <v>Commerce</v>
      </c>
      <c r="K644" s="2042" t="str">
        <f>$AN$14</f>
        <v>Restaurant</v>
      </c>
      <c r="L644" s="2042" t="str">
        <f>$AN$15</f>
        <v>Lieu de rassemblement</v>
      </c>
      <c r="M644" s="2042" t="str">
        <f>$AN$16</f>
        <v>Hôpital</v>
      </c>
      <c r="N644" s="2042" t="str">
        <f>$AN$17</f>
        <v>Industrie</v>
      </c>
      <c r="O644" s="2042" t="str">
        <f>$AN$18</f>
        <v>Entrepôt</v>
      </c>
      <c r="P644" s="2042" t="str">
        <f>$AN$19</f>
        <v>Installation sportive</v>
      </c>
      <c r="Q644" s="2043" t="str">
        <f>$AN$20</f>
        <v>Piscine couverte</v>
      </c>
      <c r="S644" s="2041"/>
      <c r="T644" s="2042" t="str">
        <f>$AN$9</f>
        <v>Habitat collectif</v>
      </c>
      <c r="U644" s="2042" t="str">
        <f>$AN$10</f>
        <v>Habitat individuel</v>
      </c>
      <c r="V644" s="2042" t="str">
        <f>$AN$11</f>
        <v>Administration</v>
      </c>
      <c r="W644" s="2042" t="str">
        <f>$AN$12</f>
        <v>Ecole</v>
      </c>
      <c r="X644" s="2042" t="str">
        <f>$AN$13</f>
        <v>Commerce</v>
      </c>
      <c r="Y644" s="2042" t="str">
        <f>$AN$14</f>
        <v>Restaurant</v>
      </c>
      <c r="Z644" s="2042" t="str">
        <f>$AN$15</f>
        <v>Lieu de rassemblement</v>
      </c>
      <c r="AA644" s="2042" t="str">
        <f>$AN$16</f>
        <v>Hôpital</v>
      </c>
      <c r="AB644" s="2042" t="str">
        <f>$AN$17</f>
        <v>Industrie</v>
      </c>
      <c r="AC644" s="2042" t="str">
        <f>$AN$18</f>
        <v>Entrepôt</v>
      </c>
      <c r="AD644" s="2042" t="str">
        <f>$AN$19</f>
        <v>Installation sportive</v>
      </c>
      <c r="AE644" s="2043" t="str">
        <f>$AN$20</f>
        <v>Piscine couverte</v>
      </c>
      <c r="AG644" s="1918"/>
      <c r="AH644" s="1918"/>
      <c r="AI644" s="1918"/>
      <c r="AJ644" s="1918"/>
      <c r="AK644" s="1918"/>
      <c r="AL644" s="1918"/>
      <c r="AM644" s="1918"/>
      <c r="AN644" s="1918"/>
      <c r="AO644" s="1918"/>
      <c r="AP644" s="1918"/>
      <c r="AQ644" s="1918"/>
      <c r="AR644" s="1918"/>
      <c r="AS644" s="1918"/>
    </row>
    <row r="645" spans="5:45">
      <c r="E645" s="2044" t="str">
        <f>$Q$13</f>
        <v>Contruction massive lourde</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Contruction massive lourde</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Contruction massive légère</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Contruction massive légère</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Construction en bois lourde</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Construction en bois lourde</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Construction en bois légère</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Construction en bois légère</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Construction hybride</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Construction hybride</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Habitat collectif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Habitat individuel</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Administration</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Ecole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Commerce</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Lieu de rassemblement</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Hôpital</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Entrepôt</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Installation sportive</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Piscine couverte</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Habitat collectif</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Habitat individuel</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Administration</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Ecole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Commerce</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Lieu de rassemblement</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Hôpital</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Entrepôt</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Installation sportive</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Piscine couverte</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Entrées!B1</f>
        <v>v2.95</v>
      </c>
      <c r="C1" s="3"/>
      <c r="D1" s="3"/>
      <c r="E1" s="340"/>
      <c r="F1" s="3"/>
      <c r="G1" s="3"/>
      <c r="H1" s="3"/>
      <c r="I1" s="158"/>
      <c r="J1" s="3"/>
      <c r="K1" s="7" t="str">
        <f>Uebersetzung!D5</f>
        <v>Formulaire EN-101 BE, v2.95</v>
      </c>
    </row>
    <row r="2" spans="1:35" ht="17.100000000000001" customHeight="1">
      <c r="B2" s="36"/>
      <c r="C2" s="35"/>
      <c r="D2" s="115"/>
      <c r="E2" s="36"/>
      <c r="F2" s="115"/>
      <c r="G2" s="2595" t="str">
        <f>Uebersetzung!D375</f>
        <v>Données supplémentaires pour le</v>
      </c>
      <c r="H2" s="2596"/>
      <c r="I2" s="2596"/>
      <c r="J2" s="2596"/>
      <c r="K2" s="2597"/>
      <c r="N2" s="5">
        <f>IF(OR(AND(Kategorie1=2,V77=""),AND(Kategorie2=2,W77=""),AND(Kategorie3=2,X77=""),AND(Kategorie1=4,Y77="")),1,0)</f>
        <v>0</v>
      </c>
    </row>
    <row r="3" spans="1:35" ht="17.100000000000001" customHeight="1">
      <c r="B3" s="43"/>
      <c r="C3" s="42"/>
      <c r="D3" s="53"/>
      <c r="E3" s="2598"/>
      <c r="F3" s="2599"/>
      <c r="G3" s="2600" t="str">
        <f>Uebersetzung!D376</f>
        <v>justificatif Minergie</v>
      </c>
      <c r="H3" s="2601"/>
      <c r="I3" s="2601"/>
      <c r="J3" s="2601"/>
      <c r="K3" s="2602"/>
      <c r="N3" s="298" t="s">
        <v>1863</v>
      </c>
      <c r="U3" s="298" t="s">
        <v>1889</v>
      </c>
      <c r="AC3" s="298" t="s">
        <v>2540</v>
      </c>
    </row>
    <row r="4" spans="1:35" ht="9.9499999999999993" customHeight="1">
      <c r="B4" s="94"/>
      <c r="C4" s="60"/>
      <c r="D4" s="116"/>
      <c r="E4" s="94"/>
      <c r="F4" s="116"/>
      <c r="G4" s="2603"/>
      <c r="H4" s="2604"/>
      <c r="I4" s="2604"/>
      <c r="J4" s="2604"/>
      <c r="K4" s="2605"/>
      <c r="T4" s="1535"/>
      <c r="U4" s="2737" t="s">
        <v>1895</v>
      </c>
      <c r="V4" s="2737"/>
      <c r="W4" s="2737"/>
      <c r="AC4" s="2732" t="s">
        <v>3766</v>
      </c>
      <c r="AD4" s="2732"/>
      <c r="AE4" s="2732"/>
      <c r="AF4" s="2732"/>
      <c r="AG4" s="2732"/>
      <c r="AH4" s="2732"/>
    </row>
    <row r="5" spans="1:35" ht="9.9499999999999993" hidden="1" customHeight="1">
      <c r="B5" s="3"/>
      <c r="C5" s="3"/>
      <c r="D5" s="3"/>
      <c r="E5" s="340"/>
      <c r="F5" s="3"/>
      <c r="G5" s="3"/>
      <c r="H5" s="3"/>
      <c r="I5" s="158"/>
      <c r="J5" s="3"/>
      <c r="K5" s="4"/>
      <c r="T5" s="1535"/>
      <c r="U5" s="2737"/>
      <c r="V5" s="2737"/>
      <c r="W5" s="2737"/>
      <c r="AC5" s="2732"/>
      <c r="AD5" s="2732"/>
      <c r="AE5" s="2732"/>
      <c r="AF5" s="2732"/>
      <c r="AG5" s="2732"/>
      <c r="AH5" s="2732"/>
    </row>
    <row r="6" spans="1:35" ht="9.9499999999999993" hidden="1" customHeight="1">
      <c r="B6" s="6"/>
      <c r="C6" s="6"/>
      <c r="D6" s="3"/>
      <c r="E6" s="3"/>
      <c r="F6" s="3"/>
      <c r="G6" s="3"/>
      <c r="H6" s="3"/>
      <c r="I6" s="3"/>
      <c r="J6" s="3"/>
      <c r="T6" s="1535"/>
      <c r="U6" s="2737"/>
      <c r="V6" s="2737"/>
      <c r="W6" s="2737"/>
      <c r="AC6" s="2732"/>
      <c r="AD6" s="2732"/>
      <c r="AE6" s="2732"/>
      <c r="AF6" s="2732"/>
      <c r="AG6" s="2732"/>
      <c r="AH6" s="2732"/>
    </row>
    <row r="7" spans="1:35" ht="20.100000000000001" hidden="1" customHeight="1">
      <c r="B7" s="777" t="str">
        <f>Entrées!B7</f>
        <v>Nom du projet:</v>
      </c>
      <c r="C7" s="2725" t="str">
        <f>IF(Projekt1="","",Projekt1)</f>
        <v/>
      </c>
      <c r="D7" s="2725"/>
      <c r="E7" s="2725"/>
      <c r="F7" s="2725"/>
      <c r="G7" s="864" t="str">
        <f>Entrées!G7</f>
        <v>N° cadastre:</v>
      </c>
      <c r="H7" s="978" t="str">
        <f>IF(Projekt2="","",Projekt2)</f>
        <v/>
      </c>
      <c r="I7" s="864" t="str">
        <f>Entrées!I7</f>
        <v>N° bâtiment:</v>
      </c>
      <c r="J7" s="2726" t="str">
        <f>IF(Projekt3="","",Projekt3)</f>
        <v/>
      </c>
      <c r="K7" s="2727"/>
      <c r="T7" s="1535"/>
      <c r="U7" s="2737"/>
      <c r="V7" s="2737"/>
      <c r="W7" s="2737"/>
      <c r="AC7" s="2732"/>
      <c r="AD7" s="2732"/>
      <c r="AE7" s="2732"/>
      <c r="AF7" s="2732"/>
      <c r="AG7" s="2732"/>
      <c r="AH7" s="2732"/>
    </row>
    <row r="8" spans="1:35" ht="20.100000000000001" hidden="1" customHeight="1">
      <c r="B8" s="778" t="str">
        <f>Entrées!B8</f>
        <v>Adresse du bâtiment:</v>
      </c>
      <c r="C8" s="2733" t="str">
        <f>IF(Projekt4="","",Projekt4)</f>
        <v/>
      </c>
      <c r="D8" s="2733"/>
      <c r="E8" s="2733"/>
      <c r="F8" s="2733"/>
      <c r="G8" s="2733"/>
      <c r="H8" s="2733"/>
      <c r="I8" s="965"/>
      <c r="J8" s="2734" t="str">
        <f>IF(Entrées!J8="","",Entrées!J8)</f>
        <v/>
      </c>
      <c r="K8" s="2735"/>
      <c r="T8" s="1535"/>
      <c r="U8" s="2737"/>
      <c r="V8" s="2737"/>
      <c r="W8" s="2737"/>
      <c r="AC8" s="2732"/>
      <c r="AD8" s="2732"/>
      <c r="AE8" s="2732"/>
      <c r="AF8" s="2732"/>
      <c r="AG8" s="2732"/>
      <c r="AH8" s="2732"/>
    </row>
    <row r="9" spans="1:35" ht="20.100000000000001" hidden="1" customHeight="1">
      <c r="T9" s="1535"/>
      <c r="U9" s="2737"/>
      <c r="V9" s="2737"/>
      <c r="W9" s="2737"/>
      <c r="AC9" s="2732"/>
      <c r="AD9" s="2732"/>
      <c r="AE9" s="2732"/>
      <c r="AF9" s="2732"/>
      <c r="AG9" s="2732"/>
      <c r="AH9" s="2732"/>
    </row>
    <row r="10" spans="1:35" ht="1.1499999999999999" customHeight="1">
      <c r="B10" s="8"/>
      <c r="C10" s="8"/>
      <c r="D10" s="9"/>
      <c r="E10" s="9"/>
      <c r="F10" s="9"/>
      <c r="G10" s="9"/>
      <c r="T10" s="1535"/>
      <c r="U10" s="2737"/>
      <c r="V10" s="2737"/>
      <c r="W10" s="2737"/>
      <c r="AC10" s="2732"/>
      <c r="AD10" s="2732"/>
      <c r="AE10" s="2732"/>
      <c r="AF10" s="2732"/>
      <c r="AG10" s="2732"/>
      <c r="AH10" s="2732"/>
    </row>
    <row r="11" spans="1:35" ht="6" customHeight="1">
      <c r="A11" s="1518"/>
      <c r="F11" s="9"/>
      <c r="G11" s="9"/>
      <c r="N11" s="1700"/>
      <c r="O11" s="1006"/>
      <c r="P11" s="1006">
        <v>1</v>
      </c>
      <c r="Q11" s="1117"/>
      <c r="R11" s="1006"/>
      <c r="S11" s="1119">
        <v>1</v>
      </c>
      <c r="T11" s="1535">
        <v>1</v>
      </c>
      <c r="U11" s="2738"/>
      <c r="V11" s="2738"/>
      <c r="W11" s="2738"/>
      <c r="AC11" s="2732"/>
      <c r="AD11" s="2732"/>
      <c r="AE11" s="2732"/>
      <c r="AF11" s="2732"/>
      <c r="AG11" s="2732"/>
      <c r="AH11" s="2732"/>
    </row>
    <row r="12" spans="1:35" ht="18" customHeight="1">
      <c r="A12" s="1518" t="s">
        <v>2821</v>
      </c>
      <c r="B12" s="974" t="str">
        <f>Uebersetzung!D14</f>
        <v>Données sur le bâtiment</v>
      </c>
      <c r="C12" s="980"/>
      <c r="D12" s="981"/>
      <c r="E12" s="982" t="str">
        <f>Uebersetzung!D15</f>
        <v xml:space="preserve">Altitude: </v>
      </c>
      <c r="F12" s="983">
        <f>Hoehe</f>
        <v>0</v>
      </c>
      <c r="G12" s="984" t="str">
        <f>Uebersetzung!D16</f>
        <v>m</v>
      </c>
      <c r="H12" s="985" t="str">
        <f>Uebersetzung!D12</f>
        <v>Canton:</v>
      </c>
      <c r="I12" s="989" t="str">
        <f>Entrées!I13</f>
        <v>Berne</v>
      </c>
      <c r="J12" s="986"/>
      <c r="K12" s="987"/>
      <c r="N12" s="1142" t="str">
        <f>Uebersetzung!D25</f>
        <v>oui</v>
      </c>
      <c r="O12" s="143" t="str">
        <f>Uebersetzung!D26</f>
        <v>non</v>
      </c>
      <c r="P12" s="143">
        <v>2</v>
      </c>
      <c r="Q12" s="1087" t="str">
        <f>Uebersetzung!D23</f>
        <v>satisfait</v>
      </c>
      <c r="R12" s="143" t="str">
        <f>Uebersetzung!D24</f>
        <v>non satisfait</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(Selon la norme SIA 380/1)</v>
      </c>
      <c r="C13" s="151"/>
      <c r="D13" s="11"/>
      <c r="E13" s="856" t="str">
        <f>Uebersetzung!D18</f>
        <v>Justificatif pour:</v>
      </c>
      <c r="F13" s="1854" t="str">
        <f>Entrées!E14</f>
        <v>Loi sur l'énergie bernoise 2023</v>
      </c>
      <c r="G13" s="151"/>
      <c r="H13" s="15" t="str">
        <f>Uebersetzung!D28</f>
        <v>Station climat.</v>
      </c>
      <c r="I13" s="990" t="str">
        <f>Entrées!I14</f>
        <v xml:space="preserve"> </v>
      </c>
      <c r="J13" s="979"/>
      <c r="K13" s="988"/>
      <c r="N13" s="1142" t="str">
        <f>O12</f>
        <v>non</v>
      </c>
      <c r="O13" s="151"/>
      <c r="P13" s="151">
        <v>3</v>
      </c>
      <c r="Q13" s="890" t="str">
        <f>R12</f>
        <v>non satisfait</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Somme</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86" t="str">
        <f>Entrées!B16</f>
        <v>Catégorie d'ouvrage</v>
      </c>
      <c r="C15" s="2587"/>
      <c r="D15" s="2606" t="str">
        <f>IF(minergiep,IF(AND(Standardwerte!BO55,Standardwerte!BO56,Standardwerte!BO57,Standardwerte!BO58),"","mit MINERGIE-P nicht möglich"),"")</f>
        <v/>
      </c>
      <c r="E15" s="2736"/>
      <c r="F15" s="1293">
        <f>Entrées!F16</f>
        <v>0</v>
      </c>
      <c r="G15" s="1293">
        <f>Entrées!G16</f>
        <v>0</v>
      </c>
      <c r="H15" s="1293">
        <f>Entrées!H16</f>
        <v>0</v>
      </c>
      <c r="I15" s="1293">
        <f>Entrées!I16</f>
        <v>0</v>
      </c>
      <c r="J15" s="1001"/>
      <c r="K15" s="197" t="str">
        <f>Uebersetzung!D35</f>
        <v>(moyenne)</v>
      </c>
      <c r="N15" s="1146" t="s">
        <v>1816</v>
      </c>
      <c r="O15" s="1122">
        <f>IF(Kategorie1&lt;&gt;13,Justificatif!G34*Justificatif!$N$52+(Justificatif!G39+Justificatif!G40)*2,0)</f>
        <v>0</v>
      </c>
      <c r="P15" s="1116">
        <f>IF(Kategorie2&lt;&gt;13,Justificatif!H34*Justificatif!$N$52+(Justificatif!H39+Justificatif!H40)*2,0)</f>
        <v>0</v>
      </c>
      <c r="Q15" s="1116">
        <f>IF(Kategorie3&lt;&gt;13,Justificatif!I34*Justificatif!$N$52+(Justificatif!I39+Justificatif!I40)*2,0)</f>
        <v>0</v>
      </c>
      <c r="R15" s="1123">
        <f>IF(Kategorie4&lt;&gt;13,Justificatif!J34*Justificatif!$N$52+(Justificatif!J39+Justificatif!J40)*2,0)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Eau chaude, valeur calculée</v>
      </c>
      <c r="C17" s="1880" t="str">
        <f>Uebersetzung!D257</f>
        <v>Rendement / COPa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Eau chaude, SIA 385:</v>
      </c>
      <c r="C18" s="1880" t="str">
        <f>Uebersetzung!D248</f>
        <v>Pondération</v>
      </c>
      <c r="D18" s="1884"/>
      <c r="E18" s="185" t="s">
        <v>524</v>
      </c>
      <c r="F18" s="1434"/>
      <c r="G18" s="1047"/>
      <c r="H18" s="1047"/>
      <c r="I18" s="1047"/>
      <c r="J18" s="184"/>
      <c r="K18" s="857"/>
      <c r="L18" s="299"/>
      <c r="N18" s="1146" t="s">
        <v>1818</v>
      </c>
      <c r="O18" s="1382">
        <f>IF(INDEX(Standardwerte!$AN$71:$AN$83,Kategorie1,1)=0,F17*Justificatif!$O$52,0)</f>
        <v>0</v>
      </c>
      <c r="P18" s="1383">
        <f>IF(INDEX(Standardwerte!$AN$71:$AN$83,Kategorie2,1)=0,G17*Justificatif!$O$52,0)</f>
        <v>0</v>
      </c>
      <c r="Q18" s="1383">
        <f>IF(INDEX(Standardwerte!$AN$71:$AN$83,Kategorie3,1)=0,H17*Justificatif!$O$52,0)</f>
        <v>0</v>
      </c>
      <c r="R18" s="1384">
        <f>IF(INDEX(Standardwerte!$AN$71:$AN$83,Kategorie4,1)=0,I17*Justificatif!$O$52,0)</f>
        <v>0</v>
      </c>
      <c r="S18" s="1147">
        <f>IF(OR(EBF=0,AND(MUKEN,EBF_MUKEN=0),AND(bern,EBF_MUKEN=0)),0,(O18*_EBF1+P18*_EBF2+Q18*_EBF3+R18*_EBF4)/IF(OR(MUKEN,bern),EBF_MUKEN,(_EBF1+_EBF2+_EBF3+_EBF4)))</f>
        <v>0</v>
      </c>
      <c r="T18" s="5" t="s">
        <v>524</v>
      </c>
      <c r="U18" s="890" t="s">
        <v>657</v>
      </c>
      <c r="V18" s="1837">
        <f>IF(V17,Standardwerte!$AB$94,IF(V13,Standardwerte!$AB$93,Standardwerte!$AC$93))</f>
        <v>0</v>
      </c>
      <c r="W18" s="1838">
        <f>IF(W17,Standardwerte!$AB$94,IF(W13,Standardwerte!$AB$93,Standardwerte!$AC$93))</f>
        <v>0</v>
      </c>
      <c r="X18" s="1838">
        <f>IF(X17,Standardwerte!$AB$94,IF(X13,Standardwerte!$AB$93,Standardwerte!$AC$93))</f>
        <v>0</v>
      </c>
      <c r="Y18" s="1839">
        <f>IF(Y17,Standardwerte!$AB$94,IF(Y13,Standardwerte!$AB$93,Standardwerte!$AC$93))</f>
        <v>0</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88" t="str">
        <f>Uebersetzung!D362</f>
        <v xml:space="preserve"> - Réduction pour la robinetterie</v>
      </c>
      <c r="C19" s="2589"/>
      <c r="D19" s="194" t="s">
        <v>1821</v>
      </c>
      <c r="E19" s="248"/>
      <c r="F19" s="1004"/>
      <c r="G19" s="1004"/>
      <c r="H19" s="1004"/>
      <c r="I19" s="1004"/>
      <c r="J19" s="200"/>
      <c r="K19" s="857"/>
      <c r="M19" s="298" t="b">
        <f>IF(AND(minergiea,OR(Kategorie1=7,Kategorie2=7,Kategorie3=7,Kategorie4=7,Kategorie1=12,Kategorie2=12,Kategorie3=12,Kategorie4=12),Justificatif!O52=0),TRUE,FALSE)</f>
        <v>0</v>
      </c>
      <c r="N19" s="751" t="s">
        <v>3935</v>
      </c>
      <c r="O19" s="1155">
        <f>IF(O18&gt;0,0,IF(Justificatif!$O$52&gt;0,F17*Justificatif!$O$52,F17*IF($D$18&gt;0,$D$18,2)/IF($D$17&gt;0,$D$17,1)))</f>
        <v>0</v>
      </c>
      <c r="P19" s="1156">
        <f>IF(P18&gt;0,0,IF(Justificatif!$O$52&gt;0,G17*Justificatif!$O$52,G17*IF($D$18&gt;0,$D$18,2)/IF($D$17&gt;0,$D$17,1)))</f>
        <v>0</v>
      </c>
      <c r="Q19" s="1156">
        <f>IF(Q18&gt;0,0,IF(Justificatif!$O$52&gt;0,H17*Justificatif!$O$52,H17*IF($D$18&gt;0,$D$18,2)/IF($D$17&gt;0,$D$17,1)))</f>
        <v>0</v>
      </c>
      <c r="R19" s="1121">
        <f>IF(R18&gt;0,0,IF(Justificatif!$O$52&gt;0,I17*Justificatif!$O$52,I17*IF($D$18&gt;0,$D$18,2)/IF($D$17&gt;0,$D$17,1)))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88" t="str">
        <f>Uebersetzung!D363</f>
        <v xml:space="preserve"> - Réduction pour le maintien de la chaleur</v>
      </c>
      <c r="C20" s="2589"/>
      <c r="D20" s="194" t="s">
        <v>1820</v>
      </c>
      <c r="E20" s="248"/>
      <c r="F20" s="1004"/>
      <c r="G20" s="1004"/>
      <c r="H20" s="1004"/>
      <c r="I20" s="1004"/>
      <c r="J20" s="1134"/>
      <c r="K20" s="857"/>
      <c r="AC20" s="1143"/>
      <c r="AD20" s="151"/>
      <c r="AE20" s="151"/>
      <c r="AF20" s="151"/>
      <c r="AG20" s="151"/>
      <c r="AH20" s="1143"/>
    </row>
    <row r="21" spans="1:35" ht="22.15" customHeight="1">
      <c r="A21" s="1518" t="s">
        <v>3027</v>
      </c>
      <c r="B21" s="2730" t="str">
        <f>Uebersetzung!D521</f>
        <v>-Récupération de la chaleur des eaux usées en%</v>
      </c>
      <c r="C21" s="2638"/>
      <c r="D21" s="194"/>
      <c r="E21" s="194"/>
      <c r="F21" s="1609"/>
      <c r="G21" s="1609"/>
      <c r="H21" s="1609"/>
      <c r="I21" s="1609"/>
      <c r="J21" s="182"/>
      <c r="K21" s="1610">
        <f>IF(EBF&gt;0,(IF(wohnen1,F21,0)*Entrées!O2+IF(wohnen2,G21,0)*Entrées!P2+IF(wohnen3,H21,0)*Entrées!Q2+IF(wohnen4,I21,0)*Entrées!R2)/EBF,0)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88" t="str">
        <f>Uebersetzung!D411</f>
        <v xml:space="preserve"> - Longueur des bandes de chauffage</v>
      </c>
      <c r="C22" s="2589"/>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Entrées!B19</f>
        <v>Surface de référence énergétique SRE</v>
      </c>
      <c r="C23" s="1588"/>
      <c r="D23" s="205" t="s">
        <v>138</v>
      </c>
      <c r="E23" s="1135" t="str">
        <f>IF(bern,MINERGIE!N12&amp;"/",)</f>
        <v>oui/</v>
      </c>
      <c r="F23" s="1136">
        <f>Entrées!O2</f>
        <v>0</v>
      </c>
      <c r="G23" s="1136">
        <f>Entrées!P2</f>
        <v>0</v>
      </c>
      <c r="H23" s="1136">
        <f>Entrées!Q2</f>
        <v>0</v>
      </c>
      <c r="I23" s="1136">
        <f>Entrées!R2</f>
        <v>0</v>
      </c>
      <c r="J23" s="184"/>
      <c r="K23" s="1137">
        <f>Entrées!K19</f>
        <v>0</v>
      </c>
      <c r="AH23" s="1414">
        <f>SUM(AD23:AG23)</f>
        <v>0</v>
      </c>
    </row>
    <row r="24" spans="1:35" ht="20.100000000000001" hidden="1" customHeight="1">
      <c r="A24" s="1518" t="s">
        <v>388</v>
      </c>
      <c r="B24" s="1587" t="str">
        <f>Entrées!B21</f>
        <v>Nouvelle construction</v>
      </c>
      <c r="C24" s="1588"/>
      <c r="D24" s="199"/>
      <c r="E24" s="200"/>
      <c r="F24" s="1002">
        <f>Entrées!F21</f>
        <v>0</v>
      </c>
      <c r="G24" s="1002">
        <f>Entrées!G21</f>
        <v>0</v>
      </c>
      <c r="H24" s="1002">
        <f>Entrées!H21</f>
        <v>0</v>
      </c>
      <c r="I24" s="1002">
        <f>Entrées!I21</f>
        <v>0</v>
      </c>
      <c r="J24" s="2515"/>
      <c r="K24" s="2516"/>
      <c r="N24" s="1151" t="s">
        <v>1838</v>
      </c>
      <c r="O24" s="1152"/>
      <c r="P24" s="1152"/>
      <c r="Q24" s="1152"/>
      <c r="R24" s="1152"/>
      <c r="S24" s="1153"/>
      <c r="AH24" s="1414">
        <f>SUM(AD24:AG24)</f>
        <v>0</v>
      </c>
    </row>
    <row r="25" spans="1:35" ht="22.15" customHeight="1">
      <c r="A25" s="1518" t="s">
        <v>2828</v>
      </c>
      <c r="B25" s="2588" t="str">
        <f>Uebersetzung!D410</f>
        <v>Nombre d’unités d’habitation</v>
      </c>
      <c r="C25" s="2589"/>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IF(_EBF1&gt;0,IF(wohnen1,IF(OR(V77="",V77=0),ROUNDUP(Entrées!O2/90,0),V77),0),0)</f>
        <v>0</v>
      </c>
      <c r="P25" s="1623">
        <f>IF(_EBF2&gt;0,IF(wohnen2,IF(OR(W77="",W77=0),ROUNDUP(Entrées!P2/90,0),W77),0),0)</f>
        <v>0</v>
      </c>
      <c r="Q25" s="1623">
        <f>IF(_EBF3&gt;0,IF(wohnen3,IF(OR(X77="",X77=0),ROUNDUP(Entrées!Q2/90,0),X77),0),0)</f>
        <v>0</v>
      </c>
      <c r="R25" s="1624">
        <f>IF(_EBF4&gt;0,IF(wohnen4,IF(OR(Y77="",Y77=0),ROUNDUP(Entrées!R2/90,0),Y77),0),0)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4" t="str">
        <f>Uebersetzung!D522</f>
        <v>Hauteur du bâtiment</v>
      </c>
      <c r="C26" s="2731"/>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28" t="str">
        <f>Uebersetzung!D364</f>
        <v>Electricité</v>
      </c>
      <c r="C30" s="2729"/>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 xml:space="preserve">Données concernant l'utilisation du logement: </v>
      </c>
      <c r="C32" s="769"/>
      <c r="D32" s="14"/>
      <c r="E32" s="414" t="str">
        <f>B14</f>
        <v>Zone</v>
      </c>
      <c r="F32" s="180">
        <v>1</v>
      </c>
      <c r="G32" s="180">
        <v>2</v>
      </c>
      <c r="H32" s="180">
        <v>3</v>
      </c>
      <c r="I32" s="180">
        <v>4</v>
      </c>
      <c r="J32" s="19"/>
      <c r="K32" s="20" t="str">
        <f>K15</f>
        <v>(moyenne)</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IF(Zonen&gt;0,Justificatif!G34,0)</f>
        <v>0</v>
      </c>
      <c r="AE32" s="1430">
        <f>IF(Zonen&gt;1,Justificatif!H34,0)</f>
        <v>0</v>
      </c>
      <c r="AF32" s="1430">
        <f>IF(Zonen&gt;2,Justificatif!I34,0)</f>
        <v>0</v>
      </c>
      <c r="AG32" s="1430">
        <f>IF(Zonen&gt;3,Justificatif!J34,0)</f>
        <v>0</v>
      </c>
      <c r="AH32" s="1428">
        <f>IF($AH$14&gt;0,(AD32*$AD$14+AE32*$AE$14+AF32*$AF$14+AG32*$AG$14)/$AH$14,)</f>
        <v>0</v>
      </c>
      <c r="AI32" s="5" t="s">
        <v>524</v>
      </c>
    </row>
    <row r="33" spans="1:36" ht="22.15" customHeight="1">
      <c r="A33" s="1518" t="s">
        <v>2829</v>
      </c>
      <c r="B33" s="2586" t="str">
        <f>Uebersetzung!D366</f>
        <v>Ascenseur / élévateur disponible sur place?</v>
      </c>
      <c r="C33" s="2587"/>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IF(Kategorie1&lt;13,Entrées!O2,0)</f>
        <v>0</v>
      </c>
      <c r="W33" s="1126">
        <f>IF(Kategorie2&lt;13,Entrées!P2,0)</f>
        <v>0</v>
      </c>
      <c r="X33" s="1126">
        <f>IF(Kategorie3&lt;13,Entrées!Q2,0)</f>
        <v>0</v>
      </c>
      <c r="Y33" s="1126">
        <f>IF(Kategorie4&lt;13,Entrées!R2,0)</f>
        <v>0</v>
      </c>
      <c r="Z33" s="962">
        <f>SUM(V33:Y33)</f>
        <v>0</v>
      </c>
      <c r="AC33" s="1419" t="s">
        <v>3048</v>
      </c>
      <c r="AD33" s="1109">
        <f>Justificatif!$AN$43</f>
        <v>1</v>
      </c>
      <c r="AE33" s="1106">
        <f>Justificatif!$AN$43</f>
        <v>1</v>
      </c>
      <c r="AF33" s="1106">
        <f>Justificatif!$AN$43</f>
        <v>1</v>
      </c>
      <c r="AG33" s="1106">
        <f>Justificatif!$AN$43</f>
        <v>1</v>
      </c>
      <c r="AH33" s="1424">
        <f>Justificatif!$AN$43</f>
        <v>1</v>
      </c>
    </row>
    <row r="34" spans="1:36" ht="22.15" customHeight="1">
      <c r="A34" s="1518" t="s">
        <v>2830</v>
      </c>
      <c r="B34" s="2588" t="str">
        <f>Uebersetzung!D367</f>
        <v>Tous les lave-vaiselle min. classe C</v>
      </c>
      <c r="C34" s="2589"/>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710" t="str">
        <f>Uebersetzung!D368</f>
        <v>Tous les réfrigérateurs min. classe D</v>
      </c>
      <c r="C35" s="2711"/>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Justificatif!$AN$44</f>
        <v>1</v>
      </c>
      <c r="AE35" s="1106">
        <f>Justificatif!$AN$44</f>
        <v>1</v>
      </c>
      <c r="AF35" s="1106">
        <f>Justificatif!$AN$44</f>
        <v>1</v>
      </c>
      <c r="AG35" s="1106">
        <f>Justificatif!$AN$44</f>
        <v>1</v>
      </c>
      <c r="AH35" s="1424">
        <f>Justificatif!$AN$44</f>
        <v>1</v>
      </c>
    </row>
    <row r="36" spans="1:36" ht="22.15" customHeight="1">
      <c r="A36" s="1518" t="s">
        <v>2832</v>
      </c>
      <c r="B36" s="2588" t="str">
        <f>Uebersetzung!D369</f>
        <v>Tous les congélateurs min. classe E</v>
      </c>
      <c r="C36" s="2589"/>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AD18*Justificatif!$AN$44</f>
        <v>0</v>
      </c>
      <c r="AE36" s="1412">
        <f>AE18*Justificatif!$AN$44</f>
        <v>0</v>
      </c>
      <c r="AF36" s="1412">
        <f>AF18*Justificatif!$AN$44</f>
        <v>0</v>
      </c>
      <c r="AG36" s="1412">
        <f>AG18*Justificatif!$AN$44</f>
        <v>0</v>
      </c>
      <c r="AH36" s="1416">
        <f>SUM(AD36:AG36)</f>
        <v>0</v>
      </c>
      <c r="AI36" s="5" t="s">
        <v>524</v>
      </c>
    </row>
    <row r="37" spans="1:36" ht="22.15" customHeight="1">
      <c r="A37" s="1518" t="s">
        <v>2833</v>
      </c>
      <c r="B37" s="2588" t="str">
        <f>Uebersetzung!D370</f>
        <v>Tous les lave-linge min. classe C</v>
      </c>
      <c r="C37" s="2589"/>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88" t="str">
        <f>Uebersetzung!D371</f>
        <v>Tous les sèche-linge sont de classe A+++</v>
      </c>
      <c r="C38" s="2589"/>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88" t="str">
        <f>Uebersetzung!D372</f>
        <v>Toutes les cuisinières sont à induction</v>
      </c>
      <c r="C39" s="2589"/>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88" t="str">
        <f>Uebersetzung!D373</f>
        <v>Eclairage LED au moins C &amp; régulation</v>
      </c>
      <c r="C40" s="2635"/>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4" t="str">
        <f>Uebersetzung!D391</f>
        <v>Appareils efficaces pour l’exploitation du bâtiment</v>
      </c>
      <c r="C41" s="2665"/>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631" t="str">
        <f>Uebersetzung!D374</f>
        <v>Autres utilisations: données concernant l'éclairage</v>
      </c>
      <c r="C43" s="2632"/>
      <c r="D43" s="2632"/>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672" t="str">
        <f>Uebersetzung!D412</f>
        <v>Eclairage: rénovation complète?</v>
      </c>
      <c r="C44" s="2673"/>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88" t="str">
        <f>IF(S47,Uebersetzung!D528,"")</f>
        <v/>
      </c>
      <c r="C45" s="2589"/>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668" t="str">
        <f>Uebersetzung!D377</f>
        <v>Luminaires: module Minergie ou classe A+</v>
      </c>
      <c r="C46" s="2669"/>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Justificatif!G43</f>
        <v>0</v>
      </c>
      <c r="W46" s="1198">
        <f>Justificatif!H43</f>
        <v>0</v>
      </c>
      <c r="X46" s="1198">
        <f>Justificatif!I43</f>
        <v>0</v>
      </c>
      <c r="Y46" s="1198">
        <f>Justificatif!J43</f>
        <v>0</v>
      </c>
      <c r="Z46" s="1473">
        <f>IF(EBF&gt;0,(V46*_EBF1+W46*_EBF2+X46*_EBF3+Y46*_EBF4)/(_EBF1+_EBF2+_EBF3+_EBF4),0)</f>
        <v>0</v>
      </c>
      <c r="AA46" s="143"/>
    </row>
    <row r="47" spans="1:36" ht="22.15" customHeight="1">
      <c r="A47" s="1518" t="s">
        <v>1904</v>
      </c>
      <c r="B47" s="2670" t="str">
        <f>Uebersetzung!D378</f>
        <v>Commande d'éclairage de classe A++</v>
      </c>
      <c r="C47" s="2671"/>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Eclairage: valeur moyenne SIA 387/4</v>
      </c>
      <c r="C48" s="1177"/>
      <c r="D48" s="1199" t="s">
        <v>3307</v>
      </c>
      <c r="E48" s="194" t="s">
        <v>524</v>
      </c>
      <c r="F48" s="1670"/>
      <c r="G48" s="1670"/>
      <c r="H48" s="1670"/>
      <c r="I48" s="1670"/>
      <c r="J48" s="183"/>
      <c r="K48" s="1278">
        <f>S92</f>
        <v>0</v>
      </c>
      <c r="L48" s="5"/>
      <c r="M48" s="456"/>
      <c r="N48" s="1142" t="s">
        <v>2588</v>
      </c>
      <c r="O48" s="1397">
        <f>IF(Kategorie1&gt;3,Entrées!O2,0)</f>
        <v>0</v>
      </c>
      <c r="P48" s="1444">
        <f>IF(Kategorie2&gt;3,Entrées!P2,0)</f>
        <v>0</v>
      </c>
      <c r="Q48" s="1444">
        <f>IF(Kategorie3&gt;3,Entrées!Q2,0)</f>
        <v>0</v>
      </c>
      <c r="R48" s="1444">
        <f>IF(Kategorie4&gt;3,Entrées!R2,0)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Eclairage: valeur du projet SIA 387/4</v>
      </c>
      <c r="C49" s="1101"/>
      <c r="D49" s="1199" t="s">
        <v>3308</v>
      </c>
      <c r="E49" s="194" t="s">
        <v>524</v>
      </c>
      <c r="F49" s="1670"/>
      <c r="G49" s="1670"/>
      <c r="H49" s="1670"/>
      <c r="I49" s="1670"/>
      <c r="J49" s="183"/>
      <c r="K49" s="1278">
        <f>S93</f>
        <v>0</v>
      </c>
      <c r="L49" s="5"/>
      <c r="M49" s="456"/>
      <c r="N49" s="1660" t="s">
        <v>177</v>
      </c>
      <c r="O49" s="1661" t="str">
        <f>IF(O47,Uebersetzung!D25,Uebersetzung!D26)</f>
        <v>non</v>
      </c>
      <c r="P49" s="842" t="str">
        <f>IF(P47,Uebersetzung!D25,Uebersetzung!D26)</f>
        <v>non</v>
      </c>
      <c r="Q49" s="842" t="str">
        <f>IF(Q47,Uebersetzung!D25,Uebersetzung!D26)</f>
        <v>non</v>
      </c>
      <c r="R49" s="842" t="str">
        <f>IF(R47,Uebersetzung!D25,Uebersetzung!D26)</f>
        <v>non</v>
      </c>
      <c r="S49" s="1658"/>
      <c r="T49" s="593"/>
      <c r="U49" s="1478" t="s">
        <v>1853</v>
      </c>
      <c r="V49" s="1197">
        <f>O59</f>
        <v>0</v>
      </c>
      <c r="W49" s="1197">
        <f>P59</f>
        <v>0</v>
      </c>
      <c r="X49" s="1197">
        <f>Q59</f>
        <v>0</v>
      </c>
      <c r="Y49" s="1197">
        <f>R59</f>
        <v>0</v>
      </c>
      <c r="Z49" s="1480">
        <f>S59</f>
        <v>0</v>
      </c>
      <c r="AJ49" s="1545"/>
    </row>
    <row r="50" spans="1:36" ht="22.15" customHeight="1">
      <c r="A50" s="1518" t="s">
        <v>1903</v>
      </c>
      <c r="B50" s="2580" t="str">
        <f>Uebersetzung!D409</f>
        <v>Exigence éclairage respectée?</v>
      </c>
      <c r="C50" s="2581"/>
      <c r="D50" s="2666" t="str">
        <f>IF(S63=FALSE,$R$12,IF(AND(K48&gt;0,K49&gt;0),IF(ROUND(K49,1)&gt;ROUND(K48,1),$R$12,$Q$12),""))</f>
        <v/>
      </c>
      <c r="E50" s="2667"/>
      <c r="F50" s="1501">
        <f>(O100+O94+O56)/2</f>
        <v>0</v>
      </c>
      <c r="G50" s="1501">
        <f>(P100+P94+P56)/2</f>
        <v>0</v>
      </c>
      <c r="H50" s="1501">
        <f>(Q100+Q94+Q56)/2</f>
        <v>0</v>
      </c>
      <c r="I50" s="1501">
        <f>(R100+R94+R56)/2</f>
        <v>0</v>
      </c>
      <c r="J50" s="1499"/>
      <c r="K50" s="1544" t="str">
        <f>I116</f>
        <v>Valeur calculée</v>
      </c>
      <c r="L50" s="5"/>
      <c r="M50" s="456"/>
      <c r="N50" s="1552"/>
      <c r="O50" s="1452" t="str">
        <f>Uebersetzung!D26</f>
        <v>non</v>
      </c>
      <c r="P50" s="1303" t="str">
        <f>Uebersetzung!D26</f>
        <v>non</v>
      </c>
      <c r="Q50" s="1303" t="str">
        <f>Uebersetzung!D26</f>
        <v>non</v>
      </c>
      <c r="R50" s="1303" t="str">
        <f>Uebersetzung!D26</f>
        <v>non</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IF(_neu1,Entrées!O2,0)</f>
        <v>0</v>
      </c>
      <c r="W58" s="811">
        <f>IF(_neu2,Entrées!P2,0)</f>
        <v>0</v>
      </c>
      <c r="X58" s="811">
        <f>IF(_neu3,Entrées!Q2,0)</f>
        <v>0</v>
      </c>
      <c r="Y58" s="811">
        <f>IF(_neu4,Entrées!R2,0)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Entrées!O2-V67</f>
        <v>0</v>
      </c>
      <c r="W59" s="84">
        <f>Entrées!P2-W67</f>
        <v>0</v>
      </c>
      <c r="X59" s="84">
        <f>Entrées!Q2-X67</f>
        <v>0</v>
      </c>
      <c r="Y59" s="84">
        <f>Entrées!R2-Y67</f>
        <v>0</v>
      </c>
      <c r="Z59" s="813">
        <f>SUM(V59:Y59)</f>
        <v>0</v>
      </c>
      <c r="AA59" s="1287" t="s">
        <v>321</v>
      </c>
      <c r="AC59" s="1087" t="s">
        <v>3011</v>
      </c>
      <c r="AD59" s="1087">
        <f>INDEX(Standardwerte!$AU$108:$AU$155,Justificatif!M8,1)</f>
        <v>0</v>
      </c>
      <c r="AE59" s="143">
        <f>INDEX(Standardwerte!$AU$108:$AU$155,Justificatif!M12,1)</f>
        <v>0</v>
      </c>
      <c r="AF59" s="143">
        <f>INDEX(Standardwerte!$AU$108:$AU$155,Justificatif!M16,1)</f>
        <v>0</v>
      </c>
      <c r="AG59" s="143">
        <f>INDEX(Standardwerte!$AU$108:$AU$155,Justificatif!M20,1)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Autres exigences</v>
      </c>
      <c r="C62" s="770"/>
      <c r="D62" s="371" t="str">
        <f>Uebersetzung!D385</f>
        <v>Autodéclaration/attestation</v>
      </c>
      <c r="E62" s="371"/>
      <c r="F62" s="370"/>
      <c r="G62" s="1311"/>
      <c r="H62" s="673"/>
      <c r="I62" s="2677" t="str">
        <f>Uebersetzung!D386</f>
        <v xml:space="preserve">Exigence remplie?    </v>
      </c>
      <c r="J62" s="2677"/>
      <c r="K62" s="2678"/>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86" t="str">
        <f>IF(auswahl1&gt;0,INDEX(Standardwerte!$AF$5:$AF$13,2),"")</f>
        <v/>
      </c>
      <c r="C63" s="2587"/>
      <c r="D63" s="2716" t="str">
        <f>IF(auswahl1&gt;0,INDEX(Standardwerte!$BA$5:$BA$13,2),"")</f>
        <v/>
      </c>
      <c r="E63" s="2717"/>
      <c r="F63" s="2717"/>
      <c r="G63" s="2717"/>
      <c r="H63" s="2718"/>
      <c r="I63" s="1550"/>
      <c r="J63" s="2679">
        <f>IF(AND(B63&lt;&gt;"",I63=$N$13),$R$12,IF(OR(I63="",B63=""),,$Q$12))</f>
        <v>0</v>
      </c>
      <c r="K63" s="2680"/>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(Aperçu!K57+Aperçu!K59+Aperçu!K61+Aperçu!K63+S106+Justificatif!I47+Justificatif!I48+Justificatif!I49+Justificatif!I50+Justificatif!I51)/2</f>
        <v>0</v>
      </c>
      <c r="AJ63" s="5" t="s">
        <v>524</v>
      </c>
    </row>
    <row r="64" spans="1:36" ht="18" hidden="1" customHeight="1">
      <c r="A64" s="1518" t="s">
        <v>398</v>
      </c>
      <c r="B64" s="2588" t="str">
        <f>IF(auswahl2&gt;0,INDEX(Standardwerte!$AF$5:$AF$13,3),"")</f>
        <v/>
      </c>
      <c r="C64" s="2589"/>
      <c r="D64" s="2674" t="str">
        <f>IF(auswahl2&gt;0,INDEX(Standardwerte!$BA$5:$BA$13,3),"")</f>
        <v/>
      </c>
      <c r="E64" s="2675"/>
      <c r="F64" s="2675"/>
      <c r="G64" s="2676"/>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88" t="str">
        <f>IF(auswahl3&gt;0,INDEX(Standardwerte!$AF$5:$AF$13,4),"")</f>
        <v/>
      </c>
      <c r="C65" s="2589"/>
      <c r="D65" s="2674" t="str">
        <f>IF(auswahl3&gt;0,INDEX(Standardwerte!$BA$5:$BA$13,4),"")</f>
        <v/>
      </c>
      <c r="E65" s="2675"/>
      <c r="F65" s="2675"/>
      <c r="G65" s="2675"/>
      <c r="H65" s="2676"/>
      <c r="I65" s="1302"/>
      <c r="J65" s="2714">
        <f>IF(AND(B65&lt;&gt;"",I65=$N$13),$R$12,IF(OR(I65="",B65=""),,$Q$12))</f>
        <v>0</v>
      </c>
      <c r="K65" s="2715"/>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88" t="str">
        <f>IF(auswahl4&gt;0,INDEX(Standardwerte!$AF$5:$AF$13,5),"")</f>
        <v/>
      </c>
      <c r="C66" s="2589"/>
      <c r="D66" s="2674" t="str">
        <f>IF(auswahl4&gt;0,INDEX(Standardwerte!$BA$5:$BA$13,5),"")</f>
        <v/>
      </c>
      <c r="E66" s="2675"/>
      <c r="F66" s="2675"/>
      <c r="G66" s="2676"/>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88" t="str">
        <f>IF(auswahl5&gt;0,INDEX(Standardwerte!$AF$5:$AF$13,6),"")</f>
        <v/>
      </c>
      <c r="C67" s="2589"/>
      <c r="D67" s="2674" t="str">
        <f>IF(auswahl5&gt;0,INDEX(Standardwerte!$BA$5:$BA$13,6),"")</f>
        <v/>
      </c>
      <c r="E67" s="2675"/>
      <c r="F67" s="2675"/>
      <c r="G67" s="2675"/>
      <c r="H67" s="2676"/>
      <c r="I67" s="1302"/>
      <c r="J67" s="2712"/>
      <c r="K67" s="2713"/>
      <c r="M67" s="155" t="b">
        <v>0</v>
      </c>
      <c r="N67" s="1159" t="s">
        <v>1854</v>
      </c>
      <c r="O67" s="1167"/>
      <c r="P67" s="1167"/>
      <c r="Q67" s="1168"/>
      <c r="R67" s="1168"/>
      <c r="S67" s="1162"/>
      <c r="U67" s="1306" t="s">
        <v>1923</v>
      </c>
      <c r="V67" s="841">
        <f>IF(_neu1,Entrées!O2,0)</f>
        <v>0</v>
      </c>
      <c r="W67" s="842">
        <f>IF(_neu2,Entrées!P2,0)</f>
        <v>0</v>
      </c>
      <c r="X67" s="842">
        <f>IF(_neu3,Entrées!Q2,0)</f>
        <v>0</v>
      </c>
      <c r="Y67" s="1445">
        <f>IF(_neu4,Entrées!R2,0)</f>
        <v>0</v>
      </c>
      <c r="Z67" s="813">
        <f>SUM(V67:Y67)</f>
        <v>0</v>
      </c>
      <c r="AA67" s="1287" t="s">
        <v>321</v>
      </c>
      <c r="AC67" s="1142" t="s">
        <v>3020</v>
      </c>
      <c r="AD67" s="143"/>
      <c r="AE67" s="143"/>
      <c r="AF67" s="143"/>
      <c r="AG67" s="143"/>
      <c r="AH67" s="143"/>
      <c r="AI67" s="1607">
        <f>IF(AI63&gt;0,AI65/AI63,0)</f>
        <v>0</v>
      </c>
    </row>
    <row r="68" spans="1:37" ht="22.15" customHeight="1">
      <c r="A68" s="1518" t="s">
        <v>2839</v>
      </c>
      <c r="B68" s="2588" t="str">
        <f>IF(auswahl6&gt;0,INDEX(Standardwerte!$AF$5:$AF$13,7),"")</f>
        <v/>
      </c>
      <c r="C68" s="2589"/>
      <c r="D68" s="2674" t="str">
        <f>IF(auswahl6&gt;0,INDEX(Standardwerte!$BA$5:$BA$13,7),"")</f>
        <v/>
      </c>
      <c r="E68" s="2675"/>
      <c r="F68" s="2675"/>
      <c r="G68" s="2675"/>
      <c r="H68" s="2676"/>
      <c r="I68" s="1313"/>
      <c r="J68" s="2712"/>
      <c r="K68" s="2713"/>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Entrées!O2-V67</f>
        <v>0</v>
      </c>
      <c r="W68" s="1303">
        <f>Entrées!P2-W67</f>
        <v>0</v>
      </c>
      <c r="X68" s="1303">
        <f>Entrées!Q2-X67</f>
        <v>0</v>
      </c>
      <c r="Y68" s="1453">
        <f>Entrées!R2-Y67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88" t="str">
        <f>IF(auswahl7&gt;0,INDEX(Standardwerte!$AF$5:$AF$13,8),"")</f>
        <v/>
      </c>
      <c r="C69" s="2589"/>
      <c r="D69" s="2722" t="str">
        <f>IF(auswahl7&gt;0,INDEX(Standardwerte!$BA$5:$BA$13,8),"")</f>
        <v/>
      </c>
      <c r="E69" s="2723"/>
      <c r="F69" s="2723"/>
      <c r="G69" s="2723"/>
      <c r="H69" s="2724"/>
      <c r="I69" s="1302"/>
      <c r="J69" s="2714">
        <f>IF(AND(B69&lt;&gt;"",I69=$N$13),$R$12,IF(OR(I69="",B69=""),,$Q$12))</f>
        <v>0</v>
      </c>
      <c r="K69" s="2715"/>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88" t="str">
        <f>IF(auswahl8&gt;0,INDEX(Standardwerte!$AF$5:$AF$14,9),"")</f>
        <v/>
      </c>
      <c r="C70" s="2589"/>
      <c r="D70" s="2674" t="str">
        <f>IF(auswahl8&gt;0,INDEX(Standardwerte!$BA$5:$BA$14,9),"")</f>
        <v/>
      </c>
      <c r="E70" s="2675"/>
      <c r="F70" s="2675"/>
      <c r="G70" s="2675"/>
      <c r="H70" s="2676"/>
      <c r="I70" s="1302"/>
      <c r="J70" s="2712"/>
      <c r="K70" s="2713"/>
      <c r="M70" s="155"/>
      <c r="N70" s="1159" t="s">
        <v>1856</v>
      </c>
      <c r="O70" s="1160"/>
      <c r="P70" s="1160"/>
      <c r="Q70" s="1161"/>
      <c r="R70" s="1161"/>
      <c r="S70" s="1162"/>
      <c r="U70" s="1306" t="s">
        <v>1926</v>
      </c>
      <c r="V70" s="1451"/>
      <c r="W70" s="1449"/>
      <c r="X70" s="1449"/>
      <c r="Y70" s="1455"/>
      <c r="Z70" s="1308">
        <f>Justificatif!G59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88" t="str">
        <f>IF(auswahl9&gt;0,INDEX(Standardwerte!$AF$5:$AF$14,10),"")</f>
        <v/>
      </c>
      <c r="C71" s="2589"/>
      <c r="D71" s="2719" t="str">
        <f>IF(auswahl9&gt;0,INDEX(Standardwerte!$BA$5:$BA$14,10),"")</f>
        <v/>
      </c>
      <c r="E71" s="2720"/>
      <c r="F71" s="2720"/>
      <c r="G71" s="2720"/>
      <c r="H71" s="2721"/>
      <c r="I71" s="1720"/>
      <c r="J71" s="2714">
        <f>IF(AND(B71&lt;&gt;"",I71=$N$13),$R$12,IF(OR(I71="",B71=""),,$Q$12))</f>
        <v>0</v>
      </c>
      <c r="K71" s="2715"/>
      <c r="M71" s="155" t="b">
        <v>0</v>
      </c>
      <c r="N71" s="1169" t="s">
        <v>1858</v>
      </c>
      <c r="O71" s="27"/>
      <c r="P71" s="27"/>
      <c r="Q71" s="27"/>
      <c r="R71" s="27"/>
      <c r="S71" s="89">
        <f>IF(OR(EBF=0,AND(bern,EBF_neu=0)),0,G117*E117/IF(bern,EBF_neu,EBF)-Justificatif!Q28)*2*I117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580" t="str">
        <f>IF(auswahl10&gt;0,INDEX(Standardwerte!$AF$5:$AF$15,11),"")</f>
        <v/>
      </c>
      <c r="C72" s="2581"/>
      <c r="D72" s="2659" t="str">
        <f>IF(auswahl10&gt;0,INDEX(Standardwerte!$BA$5:$BA$15,11),"")</f>
        <v/>
      </c>
      <c r="E72" s="2660"/>
      <c r="F72" s="2660"/>
      <c r="G72" s="2660"/>
      <c r="H72" s="2661"/>
      <c r="I72" s="1711"/>
      <c r="J72" s="2662">
        <f>IF(AND(B72&lt;&gt;"",I72=$N$13),$R$12,IF(OR(I72="",B72=""),,$Q$12))</f>
        <v>0</v>
      </c>
      <c r="K72" s="2663"/>
      <c r="L72" s="300"/>
      <c r="M72" s="300"/>
      <c r="N72" s="555" t="s">
        <v>1859</v>
      </c>
      <c r="S72" s="1170">
        <f>IF(OR(EBF=0,AND(bern,EBF_neu=0)),0,G117*E117/IF(bern,EBF_neu,EBF)-Justificatif!Q28)*2*(1-I117)*0.4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45804.647175925929</v>
      </c>
      <c r="C73" s="5"/>
      <c r="D73" s="5"/>
      <c r="E73" s="5"/>
      <c r="F73" s="5"/>
      <c r="G73" s="5"/>
      <c r="H73" s="5"/>
      <c r="I73" s="5"/>
      <c r="J73" s="5"/>
      <c r="K73" s="779" t="str">
        <f>Entrées!C8&amp;" / "&amp;Entrées!C7&amp;" / "&amp;Entrées!H7&amp;" / "&amp;Entrées!J7&amp;" / "&amp;Entrées!J8&amp;" / "&amp;Entrées!G55&amp;" / "&amp;Entrées!G57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3,Entrées!O2&gt;0), TRUE,FALSE)</f>
        <v>0</v>
      </c>
      <c r="AE73" s="42" t="b">
        <f>IF(AND(Kategorie2 = 3,Entrées!P2&gt;0), TRUE,FALSE)</f>
        <v>0</v>
      </c>
      <c r="AF73" s="42" t="b">
        <f>IF(AND(Kategorie3 = 3,Entrées!Q2&gt;0), TRUE,FALSE)</f>
        <v>0</v>
      </c>
      <c r="AG73" s="42" t="b">
        <f>IF(AND(Kategorie4 = 3,Entrées!R2&gt;0),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2,Kategorie1&gt;3),Entrées!O2&gt;0,Kategorie1&lt;13), TRUE,FALSE)</f>
        <v>0</v>
      </c>
      <c r="AE74" s="42" t="b">
        <f>IF(AND(OR(Kategorie2 = 2,Kategorie2&gt;3),Entrées!P2&gt;0,Kategorie2&lt;13), TRUE,FALSE)</f>
        <v>0</v>
      </c>
      <c r="AF74" s="42" t="b">
        <f>IF(AND(OR(Kategorie3 = 2,Kategorie3&gt;3),Entrées!Q2&gt;0,Kategorie3&lt;13), TRUE,FALSE)</f>
        <v>0</v>
      </c>
      <c r="AG74" s="42" t="b">
        <f>IF(AND(OR(Kategorie4 = 2,Kategorie4&gt;3),Entrées!R2&gt;0,Kategorie4&lt;13),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S15+S18+S44+S59+S68-S73+S56+S94+S100+Justificatif!N44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IF(bern,Entrées!F23,F25)</f>
        <v>0</v>
      </c>
      <c r="W77" s="1623">
        <f>IF(bern,Entrées!G23,G25)</f>
        <v>0</v>
      </c>
      <c r="X77" s="1623">
        <f>IF(bern,Entrées!H23,H25)</f>
        <v>0</v>
      </c>
      <c r="Y77" s="1624">
        <f>IF(bern,Entrées!I23,I25)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IF(AND(_neu1,Kategorie1&gt;3),Entrées!O2,0)</f>
        <v>0</v>
      </c>
      <c r="P80" s="1303">
        <f>IF(AND(_neu2,Kategorie2&gt;3),Entrées!P2,0)</f>
        <v>0</v>
      </c>
      <c r="Q80" s="1303">
        <f>IF(AND(_neu3,Kategorie3&gt;3),Entrées!Q2,0)</f>
        <v>0</v>
      </c>
      <c r="R80" s="1303">
        <f>IF(AND(_neu4,Kategorie4&gt;3),Entrées!R2,0)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IF(AND(_neu1=FALSE,Kategorie1&gt;3),Entrées!O2,0)</f>
        <v>0</v>
      </c>
      <c r="P84" s="1303">
        <f>IF(AND(_neu2=FALSE,Kategorie2&gt;3),Entrées!P2,0)</f>
        <v>0</v>
      </c>
      <c r="Q84" s="1303">
        <f>IF(AND(_neu3=FALSE,Kategorie3&gt;3),Entrées!Q2,0)</f>
        <v>0</v>
      </c>
      <c r="R84" s="1303">
        <f>IF(AND(_neu4=FALSE,Kategorie4&gt;3),Entrées!R2,0)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IF(OR(O82,O86,O90),Entrées!O2,0)</f>
        <v>0</v>
      </c>
      <c r="P91" s="1303">
        <f>IF(OR(P82,P86,P90),Entrées!P2,0)</f>
        <v>0</v>
      </c>
      <c r="Q91" s="1303">
        <f>IF(OR(Q82,Q86,Q90),Entrées!Q2,0)</f>
        <v>0</v>
      </c>
      <c r="R91" s="1303">
        <f>IF(OR(R82,R86,R90),Entrées!R2,0)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IF(OR(O97,AND(O51=FALSE,O56=0)),Entrées!O2,0)</f>
        <v>0</v>
      </c>
      <c r="P98" s="1303">
        <f>IF(OR(P97,AND(P51=FALSE,P56=0)),Entrées!P2,0)</f>
        <v>0</v>
      </c>
      <c r="Q98" s="1303">
        <f>IF(OR(Q97,AND(Q51=FALSE,Q56=0)),Entrées!Q2,0)</f>
        <v>0</v>
      </c>
      <c r="R98" s="1303">
        <f>IF(OR(R97,AND(R51=FALSE,R56=0)),Entrées!R2,0)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IF(Kategorie1&lt;&gt;13,Justificatif!G34*Justificatif!$N$52,0)</f>
        <v>0</v>
      </c>
      <c r="P103" s="1472">
        <f>IF(Kategorie2&lt;&gt;13,Justificatif!H34*Justificatif!$N$52,0)</f>
        <v>0</v>
      </c>
      <c r="Q103" s="1472">
        <f>IF(Kategorie3&lt;&gt;13,Justificatif!I34*Justificatif!$N$52,)</f>
        <v>0</v>
      </c>
      <c r="R103" s="1472">
        <f>IF(Kategorie4&lt;&gt;13,Justificatif!J34*Justificatif!$N$52,0)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IF(Kategorie1&lt;&gt;13,(Justificatif!G39+Justificatif!G40)*2,0)</f>
        <v>0</v>
      </c>
      <c r="P104" s="840">
        <f>IF(Kategorie2&lt;&gt;13,(Justificatif!H39+Justificatif!H40)*2,0)</f>
        <v>0</v>
      </c>
      <c r="Q104" s="840">
        <f>IF(Kategorie3&lt;&gt;13,(Justificatif!I39+Justificatif!I40)*2,0)</f>
        <v>0</v>
      </c>
      <c r="R104" s="840">
        <f>IF(Kategorie4&lt;&gt;13,(Justificatif!J39+Justificatif!J40)*2,0)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IF(Kategorie1&lt;&gt;13,(Justificatif!G39)*2,0)</f>
        <v>0</v>
      </c>
      <c r="P106" s="1599">
        <f>IF(Kategorie2&lt;&gt;13,(Justificatif!H39)*2,0)</f>
        <v>0</v>
      </c>
      <c r="Q106" s="1599">
        <f>IF(Kategorie3&lt;&gt;13,(Justificatif!I39)*2,0)</f>
        <v>0</v>
      </c>
      <c r="R106" s="1599">
        <f>IF(Kategorie4&lt;&gt;13,(Justificatif!J39)*2,0)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89" t="str">
        <f>Uebersetzung!D463</f>
        <v>Autoproduction d‘électricité</v>
      </c>
      <c r="C115" s="2690"/>
      <c r="D115" s="2690"/>
      <c r="E115" s="2690"/>
      <c r="F115" s="2691"/>
      <c r="G115" s="2684" t="str">
        <f>Uebersetzung!D413</f>
        <v>Apport annuel spécifique [kWh/kWp]</v>
      </c>
      <c r="H115" s="2685"/>
      <c r="I115" s="2686" t="str">
        <f>Uebersetzung!D381</f>
        <v>Besoins personnels [%]</v>
      </c>
      <c r="J115" s="2687"/>
      <c r="K115" s="2688"/>
      <c r="L115" s="600"/>
      <c r="M115" s="600"/>
    </row>
    <row r="116" spans="1:14" s="593" customFormat="1" ht="18" hidden="1" customHeight="1">
      <c r="A116" s="1525"/>
      <c r="B116" s="5"/>
      <c r="C116" s="5"/>
      <c r="D116" s="5"/>
      <c r="E116" s="5"/>
      <c r="F116" s="5"/>
      <c r="G116" s="1494" t="str">
        <f>Justificatif!I7</f>
        <v>Valeur calculée</v>
      </c>
      <c r="H116" s="1496" t="str">
        <f>Justificatif!H7</f>
        <v>Entrée</v>
      </c>
      <c r="I116" s="1497" t="str">
        <f>G116</f>
        <v>Valeur calculée</v>
      </c>
      <c r="J116" s="2700" t="str">
        <f>H116</f>
        <v>Entrée</v>
      </c>
      <c r="K116" s="2701"/>
      <c r="L116" s="600"/>
      <c r="M116" s="600"/>
    </row>
    <row r="117" spans="1:14" s="593" customFormat="1" ht="18" hidden="1" customHeight="1">
      <c r="A117" s="1538" t="s">
        <v>1907</v>
      </c>
      <c r="B117" s="2704" t="str">
        <f>Uebersetzung!D382</f>
        <v>Puissance installée (sans CCF) [kWp]</v>
      </c>
      <c r="C117" s="2705"/>
      <c r="D117" s="2706"/>
      <c r="E117" s="2427">
        <f>Entrées!F51</f>
        <v>0</v>
      </c>
      <c r="F117" s="1441" t="s">
        <v>1860</v>
      </c>
      <c r="G117" s="1495">
        <f>IF(OR(H117="",H117=0),800,H117)</f>
        <v>800</v>
      </c>
      <c r="H117" s="2428">
        <f>Entrées!F53</f>
        <v>0</v>
      </c>
      <c r="I117" s="1498">
        <f>AI71</f>
        <v>0.2</v>
      </c>
      <c r="J117" s="2702">
        <f>Entrées!J53</f>
        <v>0</v>
      </c>
      <c r="K117" s="2703"/>
      <c r="L117" s="600"/>
      <c r="M117" s="600"/>
      <c r="N117" s="2465"/>
    </row>
    <row r="118" spans="1:14" s="593" customFormat="1" ht="18" hidden="1" customHeight="1">
      <c r="A118" s="1529" t="s">
        <v>2605</v>
      </c>
      <c r="B118" s="2707" t="str">
        <f>Uebersetzung!D414</f>
        <v>Puissance installée spécifique, par m2 SRE [W/m2] :</v>
      </c>
      <c r="C118" s="2708"/>
      <c r="D118" s="2709"/>
      <c r="E118" s="1489">
        <f>IF(EBF&gt;0,E117*1000/EBF,0)</f>
        <v>0</v>
      </c>
      <c r="F118" s="1490" t="s">
        <v>1861</v>
      </c>
      <c r="G118" s="1503" t="str">
        <f>Uebersetzung!D475</f>
        <v>Capacité de la batterie [kWh]</v>
      </c>
      <c r="H118" s="2429">
        <f>Entrées!J52</f>
        <v>0</v>
      </c>
      <c r="I118" s="1502" t="str">
        <f>Uebersetzung!D476</f>
        <v>Pertes de la batterie [%]:</v>
      </c>
      <c r="J118" s="2698">
        <v>0</v>
      </c>
      <c r="K118" s="2699"/>
      <c r="L118" s="600"/>
      <c r="M118" s="600"/>
    </row>
    <row r="119" spans="1:14" s="593" customFormat="1" ht="18" hidden="1" customHeight="1">
      <c r="A119" s="1539" t="s">
        <v>1908</v>
      </c>
      <c r="B119" s="2695" t="str">
        <f>Uebersetzung!D452</f>
        <v>Taille min. de l'installation d’autoproduction d’électricité [kWp]:</v>
      </c>
      <c r="C119" s="2696"/>
      <c r="D119" s="2697"/>
      <c r="E119" s="1492">
        <f>IF(Z73,"0",MIN(30,MAX(Z67*0.01+Justificatif!Q28*EBF/G117,0)))</f>
        <v>0</v>
      </c>
      <c r="F119" s="1493" t="s">
        <v>1860</v>
      </c>
      <c r="G119" s="1335"/>
      <c r="H119" s="1336" t="str">
        <f>Uebersetzung!D386</f>
        <v xml:space="preserve">Exigence remplie?    </v>
      </c>
      <c r="I119" s="2576" t="str">
        <f>IF(wkk,Uebersetzung!D25,IF(EBF=0,"",IF(E119="0",Uebersetzung!$D$25,IF(ROUND(E117,2)&gt;=ROUND(E119,2),Uebersetzung!$D$25,Uebersetzung!$D$26))))</f>
        <v/>
      </c>
      <c r="J119" s="2577"/>
      <c r="K119" s="2578"/>
      <c r="L119" s="600"/>
      <c r="M119" s="600"/>
    </row>
    <row r="120" spans="1:14" s="593" customFormat="1" ht="18" hidden="1" customHeight="1">
      <c r="A120" s="1525"/>
      <c r="B120" s="1386" t="s">
        <v>2216</v>
      </c>
      <c r="C120" s="1367"/>
      <c r="D120" s="1367"/>
      <c r="E120" s="1367"/>
      <c r="F120" s="1385"/>
      <c r="G120" s="1389" t="str">
        <f>Uebersetzung!D456</f>
        <v>Indice partiel
Besoins</v>
      </c>
      <c r="H120" s="1390" t="str">
        <f>Uebersetzung!D457</f>
        <v>Production PV
(pondérée)</v>
      </c>
      <c r="I120" s="1391"/>
      <c r="J120" s="1391"/>
      <c r="K120" s="1392"/>
      <c r="L120" s="600"/>
      <c r="M120" s="600"/>
    </row>
    <row r="121" spans="1:14" s="593" customFormat="1" ht="18" hidden="1" customHeight="1">
      <c r="A121" s="1527" t="s">
        <v>1912</v>
      </c>
      <c r="B121" s="2692" t="str">
        <f>Uebersetzung!D455</f>
        <v>Les besoins sont couverts par la production d’électricité:</v>
      </c>
      <c r="C121" s="2693"/>
      <c r="D121" s="2693"/>
      <c r="E121" s="2694"/>
      <c r="F121" s="1338" t="s">
        <v>524</v>
      </c>
      <c r="G121" s="1387">
        <f>S15+S18+S44+S56+S59+S68+S94+S100+S19</f>
        <v>0</v>
      </c>
      <c r="H121" s="1388">
        <f>IF(EBF&gt;0,G117*E117/EBF-Justificatif!Q28,0)*2</f>
        <v>0</v>
      </c>
      <c r="I121" s="2681" t="str">
        <f>IF(EBF=0,"",IF(H121="0",Uebersetzung!$D$25,IF(ROUND(H121,1)&gt;=ROUND(G121,1),Uebersetzung!$D$25,Uebersetzung!$D$26)))</f>
        <v/>
      </c>
      <c r="J121" s="2682"/>
      <c r="K121" s="2683"/>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Entrées!B1</f>
        <v>v2.95</v>
      </c>
      <c r="L1" s="779" t="str">
        <f>Entrées!K1</f>
        <v>Formulaire EN-101 BE, v2.95</v>
      </c>
      <c r="O1" s="782"/>
    </row>
    <row r="2" spans="1:41" ht="17.100000000000001" customHeight="1">
      <c r="B2" s="36"/>
      <c r="C2" s="820"/>
      <c r="D2" s="820"/>
      <c r="E2" s="115"/>
      <c r="F2" s="820"/>
      <c r="G2" s="115"/>
      <c r="H2" s="2595" t="str">
        <f>Entrées!G2</f>
        <v>Justificatif énergétique</v>
      </c>
      <c r="I2" s="2596"/>
      <c r="J2" s="2596"/>
      <c r="K2" s="2596"/>
      <c r="L2" s="2597"/>
      <c r="N2" s="780"/>
      <c r="O2" s="783" t="str">
        <f>Uebersetzung!D25</f>
        <v>oui</v>
      </c>
      <c r="P2" s="781" t="s">
        <v>782</v>
      </c>
      <c r="Q2" s="716" t="b">
        <f>IF(Entrées!E14=Standardwerte!AJ55,TRUE,FALSE)</f>
        <v>0</v>
      </c>
      <c r="S2" s="717" t="s">
        <v>785</v>
      </c>
      <c r="T2" s="736">
        <f>IF(AND(Neubau1=2,G43&gt;0),_EBF1,0)+IF(AND(Neubau2=2,H43&gt;0),_EBF2,0)+IF(AND(Neubau3=2,I43&gt;0),_EBF3,0)+IF(AND(Neubau4=2,J43&gt;0),_EBF4,0)</f>
        <v>0</v>
      </c>
      <c r="U2" s="5" t="s">
        <v>321</v>
      </c>
      <c r="V2" s="717" t="s">
        <v>787</v>
      </c>
      <c r="W2" s="752">
        <f>IF(OR(bern,MUKEN),L34,Entrées!K89/3.6)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809" t="s">
        <v>2183</v>
      </c>
      <c r="AL2" s="2810"/>
      <c r="AN2" s="1111" t="s">
        <v>2491</v>
      </c>
    </row>
    <row r="3" spans="1:41" ht="17.100000000000001" customHeight="1">
      <c r="B3" s="1087">
        <f>IF(MUKEN,1,0)</f>
        <v>0</v>
      </c>
      <c r="C3" s="143">
        <f>IF(OR(MUKEN,bern),0,1)</f>
        <v>0</v>
      </c>
      <c r="D3" s="42"/>
      <c r="E3" s="2455">
        <f>IF(bern,1,0)</f>
        <v>1</v>
      </c>
      <c r="F3" s="2796" t="str">
        <f>Entrées!E3</f>
        <v>EN-101 BE</v>
      </c>
      <c r="G3" s="2599"/>
      <c r="H3" s="2600" t="str">
        <f>Entrées!G3</f>
        <v>Besoin d'énergie</v>
      </c>
      <c r="I3" s="2601"/>
      <c r="J3" s="2601"/>
      <c r="K3" s="2601"/>
      <c r="L3" s="2602"/>
      <c r="N3" s="705" t="s">
        <v>775</v>
      </c>
      <c r="O3" s="784" t="str">
        <f>Uebersetzung!D26</f>
        <v>non</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03">
        <f>Entrées!G4</f>
        <v>0</v>
      </c>
      <c r="I4" s="2604"/>
      <c r="J4" s="2604"/>
      <c r="K4" s="2604"/>
      <c r="L4" s="2605"/>
      <c r="N4" s="725"/>
      <c r="O4" s="569" t="s">
        <v>725</v>
      </c>
      <c r="P4" s="690" t="s">
        <v>726</v>
      </c>
      <c r="Q4" s="569" t="s">
        <v>725</v>
      </c>
      <c r="R4" s="730"/>
      <c r="S4" s="567"/>
      <c r="T4" s="568"/>
      <c r="U4" s="730"/>
      <c r="V4" s="2745" t="s">
        <v>316</v>
      </c>
      <c r="W4" s="2746"/>
      <c r="X4" s="2788" t="s">
        <v>727</v>
      </c>
      <c r="Y4" s="2789"/>
      <c r="Z4" s="2789"/>
      <c r="AA4" s="2790"/>
      <c r="AB4" s="690" t="s">
        <v>728</v>
      </c>
      <c r="AC4" s="566"/>
      <c r="AD4" s="1802"/>
      <c r="AE4" s="1801" t="s">
        <v>38</v>
      </c>
      <c r="AF4" s="2745" t="s">
        <v>38</v>
      </c>
      <c r="AG4" s="2746"/>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747" t="s">
        <v>3587</v>
      </c>
      <c r="AG5" s="2748"/>
      <c r="AK5" s="1361"/>
      <c r="AL5" s="1362"/>
      <c r="AM5" s="1368" t="s">
        <v>2487</v>
      </c>
      <c r="AN5" s="1404">
        <f>L34</f>
        <v>0</v>
      </c>
      <c r="AO5" s="5" t="s">
        <v>524</v>
      </c>
    </row>
    <row r="6" spans="1:41" s="563" customFormat="1" ht="20.100000000000001" customHeight="1">
      <c r="A6" s="1526"/>
      <c r="B6" s="598" t="str">
        <f>Uebersetzung!D256</f>
        <v>Production de chaleur:</v>
      </c>
      <c r="C6" s="674"/>
      <c r="D6" s="674"/>
      <c r="E6" s="663"/>
      <c r="F6" s="663"/>
      <c r="G6" s="664"/>
      <c r="H6" s="2802" t="str">
        <f>Uebersetzung!D257</f>
        <v>Rendement / COPa</v>
      </c>
      <c r="I6" s="2803"/>
      <c r="J6" s="2799" t="str">
        <f>Uebersetzung!D258</f>
        <v>Taux de couverture [%]</v>
      </c>
      <c r="K6" s="2800"/>
      <c r="L6" s="2801"/>
      <c r="M6" s="1531"/>
      <c r="N6" s="691" t="s">
        <v>729</v>
      </c>
      <c r="O6" s="570" t="s">
        <v>730</v>
      </c>
      <c r="P6" s="728" t="s">
        <v>1206</v>
      </c>
      <c r="Q6" s="570" t="s">
        <v>731</v>
      </c>
      <c r="R6" s="719" t="s">
        <v>236</v>
      </c>
      <c r="S6" s="2791" t="s">
        <v>732</v>
      </c>
      <c r="T6" s="2792"/>
      <c r="U6" s="728" t="s">
        <v>733</v>
      </c>
      <c r="V6" s="570" t="s">
        <v>734</v>
      </c>
      <c r="W6" s="728" t="s">
        <v>735</v>
      </c>
      <c r="X6" s="2791" t="s">
        <v>736</v>
      </c>
      <c r="Y6" s="2792"/>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804" t="str">
        <f>Uebersetzung!D259</f>
        <v>Production de chaleur A</v>
      </c>
      <c r="C7" s="2805"/>
      <c r="D7" s="2805"/>
      <c r="E7" s="2805"/>
      <c r="F7" s="2805"/>
      <c r="G7" s="2806"/>
      <c r="H7" s="699" t="str">
        <f>Uebersetzung!D263</f>
        <v>Entrée</v>
      </c>
      <c r="I7" s="700" t="str">
        <f>Uebersetzung!D264</f>
        <v>Valeur calculée</v>
      </c>
      <c r="J7" s="701" t="str">
        <f>Uebersetzung!D265</f>
        <v>Chauffage</v>
      </c>
      <c r="K7" s="702"/>
      <c r="L7" s="703" t="str">
        <f>Uebersetzung!D266</f>
        <v>Eau chaude</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57"/>
      <c r="C8" s="2758"/>
      <c r="D8" s="2758"/>
      <c r="E8" s="2758"/>
      <c r="F8" s="2758"/>
      <c r="G8" s="2759"/>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51">
        <f>IF(G9&gt;0,IF(Hoehe&lt;800,(440/((1/G9)+610/(EBF*(qw+qh)))/G9),(490/((1/G9)+610/(EBF*(qw+qh)))/G9)),)</f>
        <v>0</v>
      </c>
      <c r="Y8" s="2752"/>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IF(AND(M8=15,G9&lt;0.35),1,1-INDEX(Standardwerte!$AS$108:$AS$155,Justificatif!M8,1))</f>
        <v>1</v>
      </c>
    </row>
    <row r="9" spans="1:41" s="563" customFormat="1" ht="14.1" customHeight="1">
      <c r="A9" s="1540" t="s">
        <v>410</v>
      </c>
      <c r="B9" s="2807" t="str">
        <f>IF(INDEX(Standardwerte!$AD$108:$AD$155,M8,1)=0,"",INDEX(Standardwerte!$AD$108:$AD$155,M8,1))</f>
        <v/>
      </c>
      <c r="C9" s="2808"/>
      <c r="D9" s="2808"/>
      <c r="E9" s="2808"/>
      <c r="F9" s="1796">
        <f>IF(M8=35,IF(G9="",0,MIN(G9,5)),0)</f>
        <v>0</v>
      </c>
      <c r="G9" s="792"/>
      <c r="H9" s="2742"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IF(M8=35,F9*Entrées!$K$42,"")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9" t="str">
        <f>IF(INDEX(Standardwerte!$AD$108:$AE$155,M8,2)=0,"",INDEX(Standardwerte!$AD$108:$AE$155,M8,2))</f>
        <v/>
      </c>
      <c r="C10" s="2750"/>
      <c r="D10" s="2750"/>
      <c r="E10" s="2750"/>
      <c r="F10" s="1797" t="str">
        <f>IF(OR(M8=35,M8=36),IF(G10="",32,MIN(G10,45)),IF(M8=33,IF(G10&gt;0,G10,X8),IF(M8=32,IF(G10&gt;0,G10,Z8),"")))</f>
        <v/>
      </c>
      <c r="G10" s="791"/>
      <c r="H10" s="2743"/>
      <c r="I10" s="650"/>
      <c r="J10" s="2753" t="str">
        <f>IF(AND(J9&gt;0,J9&lt;&gt;""),IF(J8&gt;J9+0.1,"Deckungsgrad zu hoch",""),"")</f>
        <v/>
      </c>
      <c r="K10" s="698"/>
      <c r="L10" s="2755" t="str">
        <f>IF(AND(L9&gt;0,L9&lt;&gt;""),IF(L8&gt;L9+0.1,Uebersetzung!D109,""),IF(AND(M8=35,Entrées!K42&lt;0.01),Uebersetzung!D568,""))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97" t="str">
        <f>Uebersetzung!D260</f>
        <v>Production de chaleur B</v>
      </c>
      <c r="C11" s="2798"/>
      <c r="D11" s="2798"/>
      <c r="E11" s="2798"/>
      <c r="F11" s="646"/>
      <c r="G11" s="646"/>
      <c r="H11" s="2744"/>
      <c r="I11" s="646"/>
      <c r="J11" s="2754"/>
      <c r="K11" s="698"/>
      <c r="L11" s="2756"/>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57"/>
      <c r="C12" s="2758"/>
      <c r="D12" s="2758"/>
      <c r="E12" s="2758"/>
      <c r="F12" s="2758"/>
      <c r="G12" s="2759"/>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51">
        <f>IF(G13&gt;0,IF(Hoehe&lt;800,(440/((1/G13)+610/(EBF*(qw+qh)))/G13),(490/((1/G13)+610/(EBF*(qw+qh)))/G13)),)</f>
        <v>0</v>
      </c>
      <c r="Y12" s="2752"/>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IF(AND(M12=15,G13&lt;0.35),1,1-INDEX(Standardwerte!$AS$108:$AS$155,Justificatif!M12,1))</f>
        <v>1</v>
      </c>
    </row>
    <row r="13" spans="1:41" s="563" customFormat="1" ht="14.1" customHeight="1">
      <c r="A13" s="1526" t="s">
        <v>414</v>
      </c>
      <c r="B13" s="2807" t="str">
        <f>IF(INDEX(Standardwerte!$AD$108:$AD$155,M12,1)=0,"",INDEX(Standardwerte!$AD$108:$AD$155,M12,1))</f>
        <v/>
      </c>
      <c r="C13" s="2808"/>
      <c r="D13" s="2808"/>
      <c r="E13" s="2808"/>
      <c r="F13" s="1796">
        <f>IF(M12=35,IF(G13="",0,MIN(G13,5)),0)</f>
        <v>0</v>
      </c>
      <c r="G13" s="792"/>
      <c r="H13" s="2742"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IF(M12=35,F13*Entrées!$K$42,"")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9" t="str">
        <f>IF(INDEX(Standardwerte!$AD$108:$AE$155,M12,2)=0,"",INDEX(Standardwerte!$AD$108:$AE$155,M12,2))</f>
        <v/>
      </c>
      <c r="C14" s="2750"/>
      <c r="D14" s="2750"/>
      <c r="E14" s="2750"/>
      <c r="F14" s="1797" t="str">
        <f>IF(OR(M12=35,M12=36),IF(G14="",32,MIN(G14,45)),IF(M12=33,IF(G14&gt;0,G14,X12),IF(M12=32,IF(G14&gt;0,G14,Z12),"")))</f>
        <v/>
      </c>
      <c r="G14" s="791"/>
      <c r="H14" s="2743"/>
      <c r="I14" s="650"/>
      <c r="J14" s="2753" t="str">
        <f>IF(AND(J13&gt;0,J13&lt;&gt;""),IF(J12&gt;J13+0.1,"Deckungsgrad zu hoch",""),"")</f>
        <v/>
      </c>
      <c r="K14" s="698"/>
      <c r="L14" s="2755" t="str">
        <f>IF(AND(L13&gt;0,L13&lt;&gt;""),IF(L12&gt;L13+0.1,Uebersetzung!D109,""),IF(AND(M12=35,Entrées!K42&lt;0.01),Uebersetzung!D568,""))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Production de chaleur C</v>
      </c>
      <c r="C15" s="670"/>
      <c r="D15" s="670"/>
      <c r="E15" s="646"/>
      <c r="F15" s="646"/>
      <c r="G15" s="646"/>
      <c r="H15" s="2744"/>
      <c r="I15" s="646"/>
      <c r="J15" s="2754"/>
      <c r="K15" s="698"/>
      <c r="L15" s="2756"/>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57"/>
      <c r="C16" s="2758"/>
      <c r="D16" s="2758"/>
      <c r="E16" s="2758"/>
      <c r="F16" s="2758"/>
      <c r="G16" s="2759"/>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51">
        <f>IF(G17&gt;0,IF(Hoehe&lt;800,(440/((1/G17)+610/(EBF*(qw+qh)))/G17),(490/((1/G17)+610/(EBF*(qw+qh)))/G17)),)</f>
        <v>0</v>
      </c>
      <c r="Y16" s="2752"/>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IF(AND(M16=15,G17&lt;0.35),1,1-INDEX(Standardwerte!$AS$108:$AS$155,Justificatif!M16,1))</f>
        <v>1</v>
      </c>
    </row>
    <row r="17" spans="1:40" s="563" customFormat="1" ht="14.1" customHeight="1">
      <c r="A17" s="1526" t="s">
        <v>418</v>
      </c>
      <c r="B17" s="2807" t="str">
        <f>IF(INDEX(Standardwerte!$AD$108:$AD$155,M16,1)=0,"",INDEX(Standardwerte!$AD$108:$AD$155,M16,1))</f>
        <v/>
      </c>
      <c r="C17" s="2808"/>
      <c r="D17" s="2808"/>
      <c r="E17" s="2808"/>
      <c r="F17" s="1796">
        <f>IF(M16=35,IF(G17="",0,MIN(G17,5)),0)</f>
        <v>0</v>
      </c>
      <c r="G17" s="1806"/>
      <c r="H17" s="2742"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IF(M16=35,F17*Entrées!$K$42,"")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9" t="str">
        <f>IF(INDEX(Standardwerte!$AD$108:$AE$155,M16,2)=0,"",INDEX(Standardwerte!$AD$108:$AE$155,M16,2))</f>
        <v/>
      </c>
      <c r="C18" s="2750"/>
      <c r="D18" s="2750"/>
      <c r="E18" s="2750"/>
      <c r="F18" s="1797" t="str">
        <f>IF(OR(M16=35,M16=36),IF(G18="",32,MIN(G18,45)),IF(M16=33,IF(G18&gt;0,G18,X16),IF(M16=32,IF(G18&gt;0,G18,Z16),"")))</f>
        <v/>
      </c>
      <c r="G18" s="791"/>
      <c r="H18" s="2743"/>
      <c r="I18" s="650"/>
      <c r="J18" s="2753" t="str">
        <f>IF(AND(J17&gt;0,J17&lt;&gt;""),IF(J16&gt;J17+0.1,"Deckungsgrad zu hoch",""),"")</f>
        <v/>
      </c>
      <c r="K18" s="698"/>
      <c r="L18" s="2755" t="str">
        <f>IF(AND(L17&gt;0,L17&lt;&gt;""),IF(L16&gt;L17+0.1,Uebersetzung!D109,""),IF(AND(M16=35,Entrées!K42&lt;0.01),Uebersetzung!D568,""))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Production de chaleur D</v>
      </c>
      <c r="C19" s="670"/>
      <c r="D19" s="670"/>
      <c r="E19" s="646"/>
      <c r="F19" s="646"/>
      <c r="G19" s="646"/>
      <c r="H19" s="2744"/>
      <c r="I19" s="646"/>
      <c r="J19" s="2754"/>
      <c r="K19" s="698"/>
      <c r="L19" s="2756"/>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57"/>
      <c r="C20" s="2758"/>
      <c r="D20" s="2758"/>
      <c r="E20" s="2758"/>
      <c r="F20" s="2758"/>
      <c r="G20" s="2759"/>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51">
        <f>IF(G21&gt;0,IF(Hoehe&lt;800,(440/((1/G21)+610/(EBF*(qw+qh)))/G21),(490/((1/G21)+610/(EBF*(qw+qh)))/G21)),)</f>
        <v>0</v>
      </c>
      <c r="Y20" s="2752"/>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IF(AND(M20=15,G21&lt;0.35),1,1-INDEX(Standardwerte!$AS$108:$AS$155,Justificatif!M20,1))</f>
        <v>1</v>
      </c>
    </row>
    <row r="21" spans="1:40" s="563" customFormat="1" ht="14.1" customHeight="1">
      <c r="A21" s="1526" t="s">
        <v>422</v>
      </c>
      <c r="B21" s="2807" t="str">
        <f>IF(INDEX(Standardwerte!$AD$108:$AD$155,M20,1)=0,"",INDEX(Standardwerte!$AD$108:$AD$155,M20,1))</f>
        <v/>
      </c>
      <c r="C21" s="2808"/>
      <c r="D21" s="2808"/>
      <c r="E21" s="2808"/>
      <c r="F21" s="1796">
        <f>IF(M20=35,IF(G21="",0,MIN(G21,5)),0)</f>
        <v>0</v>
      </c>
      <c r="G21" s="792"/>
      <c r="H21" s="2742"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IF(M20=35,F21*Entrées!$K$42,"")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9" t="str">
        <f>IF(INDEX(Standardwerte!$AD$108:$AE$155,M20,2)=0,"",INDEX(Standardwerte!$AD$108:$AE$155,M20,2))</f>
        <v/>
      </c>
      <c r="C22" s="2750"/>
      <c r="D22" s="2750"/>
      <c r="E22" s="2750"/>
      <c r="F22" s="1797" t="str">
        <f>IF(OR(M20=35,M20=36),IF(G22="",32,MIN(G22,45)),IF(M20=33,IF(G22&gt;0,G22,X20),IF(M20=32,IF(G22&gt;0,G22,Z20),"")))</f>
        <v/>
      </c>
      <c r="G22" s="791"/>
      <c r="H22" s="2743"/>
      <c r="I22" s="650"/>
      <c r="J22" s="2753" t="str">
        <f>IF(AND(J21&gt;0,J21&lt;&gt;""),IF(J20&gt;J21+0.1,"Deckungsgrad zu hoch",""),"")</f>
        <v/>
      </c>
      <c r="K22" s="698"/>
      <c r="L22" s="2755" t="str">
        <f>IF(AND(L21&gt;0,L21&lt;&gt;""),IF(L20&gt;L21+0.1,Uebersetzung!D109,""),IF(AND(M20=35,Entrées!K42&lt;0.01),Uebersetzung!D568,""))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Report autres productions de chaleur</v>
      </c>
      <c r="C23" s="675"/>
      <c r="D23" s="675"/>
      <c r="E23" s="646"/>
      <c r="F23" s="645"/>
      <c r="G23" s="645"/>
      <c r="H23" s="2744"/>
      <c r="I23" s="653"/>
      <c r="J23" s="2754"/>
      <c r="K23" s="698"/>
      <c r="L23" s="2756"/>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11"/>
      <c r="C24" s="2812"/>
      <c r="D24" s="2812"/>
      <c r="E24" s="2812"/>
      <c r="F24" s="2812"/>
      <c r="G24" s="2812"/>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Electricité fournie (non pondérée)</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Energie fournie (sans électricité, pondérée)</v>
      </c>
      <c r="C27" s="677"/>
      <c r="D27" s="677"/>
      <c r="E27" s="668"/>
      <c r="F27" s="527" t="s">
        <v>672</v>
      </c>
      <c r="G27" s="1788"/>
      <c r="H27" s="659"/>
      <c r="I27" s="660" t="str">
        <f>Uebersetzung!D270</f>
        <v>Taux de couverture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813" t="str">
        <f>IF(EBF_MUKEN&gt;0,IF(OR(DeckungsgradHeizung&lt;99.5,DeckungsgradHeizung&gt;100.5,AND(DeckungsgradWW&lt;99.5,qw&gt;0),AND(DeckungsgradWW&gt;100.5,qw&gt;0)),Uebersetzung!D308,),"")</f>
        <v/>
      </c>
      <c r="J28" s="2813"/>
      <c r="K28" s="2813"/>
      <c r="L28" s="2813"/>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Données du bâtiment, ventilation et valeur limite</v>
      </c>
      <c r="C29" s="678"/>
      <c r="D29" s="678"/>
      <c r="E29" s="210"/>
      <c r="F29" s="211"/>
      <c r="G29" s="661">
        <v>1</v>
      </c>
      <c r="H29" s="662">
        <v>2</v>
      </c>
      <c r="I29" s="661">
        <v>3</v>
      </c>
      <c r="J29" s="661">
        <v>4</v>
      </c>
      <c r="K29" s="124"/>
      <c r="L29" s="1395" t="str">
        <f>Uebersetzung!D272</f>
        <v>Total /
Moyenne</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avec renouvelement d'air effectif</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Besoin pour eau chaude Qww SIA 380/1</v>
      </c>
      <c r="C35" s="679"/>
      <c r="D35" s="679"/>
      <c r="E35" s="612"/>
      <c r="F35" s="50" t="s">
        <v>524</v>
      </c>
      <c r="G35" s="620">
        <f>IF(Entrées!F17=$N$35,0,IF(G43=0,0,INDEX(Standardwerte!$L$9:$L$21,Kategorie1,1)/3.6))</f>
        <v>0</v>
      </c>
      <c r="H35" s="620">
        <f>IF(Entrées!G17=$N$35,0,IF(H43=0,0,INDEX(Standardwerte!$L$9:$L$21,Kategorie2,1)/3.6))</f>
        <v>0</v>
      </c>
      <c r="I35" s="620">
        <f>IF(Entrées!H17=$N$35,0,IF(I43=0,0,INDEX(Standardwerte!$L$9:$L$21,Kategorie3,1)/3.6))</f>
        <v>0</v>
      </c>
      <c r="J35" s="620">
        <f>IF(Entrées!I17=$N$35,0,IF(J43=0,0,INDEX(Standardwerte!$L$9:$L$21,Kategorie4,1)/3.6))</f>
        <v>0</v>
      </c>
      <c r="K35" s="618"/>
      <c r="L35" s="621">
        <f>IF(OR(bern,MUKEN),IF(EBF_MUKEN&gt;0,(_qw1*_EBF1+_qw2*_EBF2+_qw3*_EBF3+_qw4*_EBF4)/EBF_MUKEN,0),IF(EBF&gt;0,(_qw1*_EBF1+_qw2*_EBF2+_qw3*_EBF3+_qw4*_EBF4)/EBF,0))</f>
        <v>0</v>
      </c>
      <c r="N35" s="1125" t="str">
        <f>Uebersetzung!D26</f>
        <v>non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Besoin en électricité pour la ventilation</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Besoin en électricité pour la climatisation + auxiliaires</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IF(minergiea,IF(_EBF1&gt;0,Entrées!F43/_EBF1,0),IF(minergiep,Standardwerte!J74,MAX(IF(Neubau1=2,INDEX(Standardwerte!$P$9:$Q$21,Kategorie1,1),IF(Neubau1=3,INDEX(Standardwerte!$P$9:$Q$21,Kategorie1,2),0))-Standardwerte!J107,0)))</f>
        <v>0</v>
      </c>
      <c r="H41" s="118">
        <f>IF(minergiea,IF(_EBF2&gt;0,Entrées!G43/_EBF2,0),IF(minergiep,Standardwerte!J75,MAX(IF(Neubau2=2,INDEX(Standardwerte!$P$9:$Q$21,Kategorie2,1),IF(Neubau2=3,INDEX(Standardwerte!$P$9:$Q$21,Kategorie2,2),0))-Standardwerte!K107,0)))</f>
        <v>0</v>
      </c>
      <c r="I41" s="118">
        <f>IF(minergiea,IF(_EBF3&gt;0,Entrées!H43/_EBF3,0),IF(minergiep,Standardwerte!J76,MAX(IF(Neubau3=2,INDEX(Standardwerte!$P$9:$Q$21,Kategorie3,1),IF(Neubau3=3,INDEX(Standardwerte!$P$9:$Q$21,Kategorie3,2),0))-Standardwerte!L107,0)))</f>
        <v>0</v>
      </c>
      <c r="J41" s="118">
        <f>IF(minergiea,IF(_EBF4&gt;0,Entrées!I43/_EBF4,0),IF(minergiep,Standardwerte!J77,MAX(IF(Neubau4=2,INDEX(Standardwerte!$P$9:$Q$21,Kategorie4,1),IF(Neubau4=3,INDEX(Standardwerte!$P$9:$Q$21,Kategorie4,2),0))-Standardwerte!M107,0)))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Valeur limite déterminante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Efficacité énergétique globale pondérée EEGp</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Production de chaleur:</v>
      </c>
      <c r="C45" s="682"/>
      <c r="D45" s="682"/>
      <c r="E45" s="219" t="s">
        <v>242</v>
      </c>
      <c r="F45" s="2814" t="str">
        <f>Uebersetzung!D283</f>
        <v>Pondération</v>
      </c>
      <c r="G45" s="2762" t="str">
        <f>Uebersetzung!D284</f>
        <v>Taux de couverture</v>
      </c>
      <c r="H45" s="2763"/>
      <c r="I45" s="2816" t="str">
        <f>Uebersetzung!D285</f>
        <v>Energie finale pondérée kWh/m2</v>
      </c>
      <c r="J45" s="2817"/>
      <c r="K45" s="105"/>
      <c r="L45" s="220" t="str">
        <f>Uebersetzung!D288</f>
        <v>Chaleur</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(chauffage et eau chaude)</v>
      </c>
      <c r="C46" s="683"/>
      <c r="D46" s="683"/>
      <c r="E46" s="130" t="str">
        <f>Uebersetzung!D282</f>
        <v>ou COPa</v>
      </c>
      <c r="F46" s="2815"/>
      <c r="G46" s="218" t="str">
        <f>J7</f>
        <v>Chauffage</v>
      </c>
      <c r="H46" s="130" t="str">
        <f>L7</f>
        <v>Eau chaude</v>
      </c>
      <c r="I46" s="130" t="str">
        <f>Uebersetzung!D286</f>
        <v>Courant</v>
      </c>
      <c r="J46" s="130" t="str">
        <f>Uebersetzung!D287</f>
        <v>autre</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Besoin d'électricité ventilation</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Electricité climatisation + auxiliaires</v>
      </c>
      <c r="C53" s="680"/>
      <c r="D53" s="680"/>
      <c r="E53" s="117"/>
      <c r="F53" s="222">
        <f>IF(E_Qk=0,0,2)</f>
        <v>0</v>
      </c>
      <c r="G53" s="1869"/>
      <c r="H53" s="1870"/>
      <c r="I53" s="118">
        <f>E_Qk*F53</f>
        <v>0</v>
      </c>
      <c r="J53" s="1864"/>
      <c r="K53" s="104"/>
      <c r="L53" s="226"/>
    </row>
    <row r="54" spans="1:40" ht="15.95" customHeight="1">
      <c r="A54" s="1532" t="s">
        <v>2861</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61"/>
      <c r="H55" s="2761"/>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Respect des exigences:</v>
      </c>
      <c r="C56" s="678"/>
      <c r="D56" s="678"/>
      <c r="E56" s="124"/>
      <c r="F56" s="124"/>
      <c r="G56" s="2784" t="str">
        <f>Uebersetzung!D294</f>
        <v>Exigences</v>
      </c>
      <c r="H56" s="2818"/>
      <c r="I56" s="2784" t="str">
        <f>Uebersetzung!D295</f>
        <v>Valeur calculée</v>
      </c>
      <c r="J56" s="2785"/>
      <c r="K56" s="132"/>
      <c r="L56" s="627" t="str">
        <f>Uebersetzung!D299</f>
        <v>Respectée?</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IF(Primaeranforderung=0,"",IF(EBF&gt;0,Zonen_vollständig*qhs_vollständig*(Primaer1*_qhs1*Entrées!O2+Primaer2*_qhs2*Entrées!P2+Primaer3*_qhs3*Entrées!Q2+Primaer4*_qhs4*Entrées!R2)/(Primaer1*Entrées!O2+Primaer2*Entrées!P2+Primaer3*Entrées!Q2+Primaer4*Entrées!R2)/3.6,))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Efficacité énergétique globale pondérée EEGp</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93" t="str">
        <f>Uebersetzung!D478</f>
        <v>Indice Minergie (MKZ)</v>
      </c>
      <c r="C59" s="2794"/>
      <c r="D59" s="2794"/>
      <c r="E59" s="2794"/>
      <c r="F59" s="2795"/>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Eau chaude avec min. 50% d'énergie renouvelable (Catégorie d'ouvrage I, II, IV, VI, VIII, XI, XII)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Annexes (déposer toute celles de la colonne de gauche)</v>
      </c>
      <c r="C61" s="2540"/>
      <c r="D61" s="2540"/>
      <c r="E61" s="2541"/>
      <c r="F61" s="2542"/>
      <c r="G61" s="890"/>
      <c r="H61" s="2543" t="s">
        <v>775</v>
      </c>
      <c r="I61" s="2530" t="str">
        <f>Uebersetzung!D302</f>
        <v>Marquer d'une croix ce qui convient</v>
      </c>
      <c r="J61" s="2544"/>
      <c r="K61" s="151"/>
      <c r="L61" s="603"/>
    </row>
    <row r="62" spans="1:40" ht="9.9499999999999993" hidden="1" customHeight="1">
      <c r="A62" s="1532"/>
      <c r="B62" s="2819"/>
      <c r="C62" s="2820"/>
      <c r="D62" s="2820"/>
      <c r="E62" s="2820"/>
      <c r="F62" s="2820"/>
      <c r="G62" s="2820"/>
      <c r="H62" s="151"/>
      <c r="I62" s="151"/>
      <c r="J62" s="151"/>
      <c r="K62" s="151"/>
      <c r="L62" s="603"/>
      <c r="M62" s="1535"/>
    </row>
    <row r="63" spans="1:40" ht="18.95" customHeight="1">
      <c r="A63" s="1532" t="s">
        <v>2863</v>
      </c>
      <c r="B63" s="895" t="s">
        <v>775</v>
      </c>
      <c r="C63" s="2776" t="str">
        <f>Uebersetzung!D303</f>
        <v>Schéma chauffage et ventilation</v>
      </c>
      <c r="D63" s="2776"/>
      <c r="E63" s="2776"/>
      <c r="F63" s="2776"/>
      <c r="G63" s="895"/>
      <c r="H63" s="2786"/>
      <c r="I63" s="2786"/>
      <c r="J63" s="2786"/>
      <c r="K63" s="2786"/>
      <c r="L63" s="2787"/>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821" t="str">
        <f>Uebersetzung!D304</f>
        <v>Calculs externes et fiches techniques</v>
      </c>
      <c r="D64" s="2821"/>
      <c r="E64" s="2821"/>
      <c r="F64" s="2821"/>
      <c r="G64" s="896"/>
      <c r="H64" s="2777"/>
      <c r="I64" s="2777"/>
      <c r="J64" s="2777"/>
      <c r="K64" s="2777"/>
      <c r="L64" s="2778"/>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781" t="s">
        <v>772</v>
      </c>
      <c r="C66" s="2782"/>
      <c r="D66" s="2782"/>
      <c r="E66" s="2782"/>
      <c r="F66" s="2782"/>
      <c r="G66" s="2783"/>
      <c r="H66" s="128"/>
      <c r="I66" s="8" t="s">
        <v>759</v>
      </c>
      <c r="J66" s="8"/>
      <c r="K66" s="8"/>
      <c r="L66" s="641"/>
      <c r="M66" s="1535"/>
    </row>
    <row r="67" spans="1:13" ht="18.95" hidden="1" customHeight="1">
      <c r="A67" s="1532" t="s">
        <v>428</v>
      </c>
      <c r="B67" s="2739"/>
      <c r="C67" s="2740"/>
      <c r="D67" s="2740"/>
      <c r="E67" s="2740"/>
      <c r="F67" s="2740"/>
      <c r="G67" s="2741"/>
      <c r="H67" s="128"/>
      <c r="I67" s="8"/>
      <c r="J67" s="8"/>
      <c r="K67" s="8"/>
      <c r="L67" s="641"/>
      <c r="M67" s="1535"/>
    </row>
    <row r="68" spans="1:13" ht="20.100000000000001" hidden="1" customHeight="1">
      <c r="A68" s="1532" t="s">
        <v>429</v>
      </c>
      <c r="B68" s="2739" t="s">
        <v>760</v>
      </c>
      <c r="C68" s="2740"/>
      <c r="D68" s="2740"/>
      <c r="E68" s="2740"/>
      <c r="F68" s="2740"/>
      <c r="G68" s="2741"/>
      <c r="H68" s="150"/>
      <c r="I68" s="2779"/>
      <c r="J68" s="2779"/>
      <c r="K68" s="2779"/>
      <c r="L68" s="2780"/>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70"/>
      <c r="E74" s="2771"/>
      <c r="F74" s="2771"/>
      <c r="G74" s="2772"/>
      <c r="H74" s="2770"/>
      <c r="I74" s="2771"/>
      <c r="J74" s="2771"/>
      <c r="K74" s="2771"/>
      <c r="L74" s="2771"/>
      <c r="M74" s="1535"/>
    </row>
    <row r="75" spans="1:13" ht="12.75" hidden="1" customHeight="1">
      <c r="A75" s="1532"/>
      <c r="B75" s="609" t="s">
        <v>766</v>
      </c>
      <c r="C75" s="609"/>
      <c r="D75" s="2770"/>
      <c r="E75" s="2771"/>
      <c r="F75" s="2771"/>
      <c r="G75" s="2772"/>
      <c r="H75" s="2770"/>
      <c r="I75" s="2771"/>
      <c r="J75" s="2771"/>
      <c r="K75" s="2771"/>
      <c r="L75" s="2771"/>
      <c r="M75" s="1535"/>
    </row>
    <row r="76" spans="1:13" ht="12.75" hidden="1" customHeight="1">
      <c r="B76" s="605"/>
      <c r="C76" s="605"/>
      <c r="D76" s="2773"/>
      <c r="E76" s="2774"/>
      <c r="F76" s="2774"/>
      <c r="G76" s="2775"/>
      <c r="H76" s="2773"/>
      <c r="I76" s="2774"/>
      <c r="J76" s="2774"/>
      <c r="K76" s="2774"/>
      <c r="L76" s="2774"/>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73"/>
      <c r="E78" s="2774"/>
      <c r="F78" s="2774"/>
      <c r="G78" s="2775"/>
      <c r="H78" s="2773"/>
      <c r="I78" s="2774"/>
      <c r="J78" s="2774"/>
      <c r="K78" s="2774"/>
      <c r="L78" s="2774"/>
      <c r="M78" s="1535"/>
    </row>
    <row r="79" spans="1:13" ht="18" hidden="1" customHeight="1">
      <c r="A79" s="1532"/>
      <c r="B79" s="609" t="s">
        <v>768</v>
      </c>
      <c r="C79" s="609"/>
      <c r="D79" s="2764"/>
      <c r="E79" s="2765"/>
      <c r="F79" s="2765"/>
      <c r="G79" s="2766"/>
      <c r="H79" s="2764"/>
      <c r="I79" s="2765"/>
      <c r="J79" s="2765"/>
      <c r="K79" s="2765"/>
      <c r="L79" s="2765"/>
      <c r="M79" s="1535"/>
    </row>
    <row r="80" spans="1:13" ht="0.95" hidden="1" customHeight="1">
      <c r="A80" s="1532"/>
      <c r="B80" s="605"/>
      <c r="C80" s="605"/>
      <c r="D80" s="2767"/>
      <c r="E80" s="2768"/>
      <c r="F80" s="2768"/>
      <c r="G80" s="2769"/>
      <c r="H80" s="2767"/>
      <c r="I80" s="2768"/>
      <c r="J80" s="2768"/>
      <c r="K80" s="2768"/>
      <c r="L80" s="2768"/>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58"/>
      <c r="I82" s="2658"/>
      <c r="J82" s="2658"/>
      <c r="K82" s="2658"/>
      <c r="L82" s="2658"/>
      <c r="M82" s="1535"/>
    </row>
    <row r="83" spans="1:13" ht="3" hidden="1" customHeight="1">
      <c r="A83" s="1532"/>
      <c r="B83" s="610"/>
      <c r="C83" s="610"/>
      <c r="D83" s="610"/>
      <c r="E83" s="610"/>
      <c r="F83" s="610"/>
      <c r="G83" s="610"/>
      <c r="H83" s="610"/>
      <c r="I83" s="610"/>
      <c r="J83" s="610"/>
      <c r="K83" s="610"/>
      <c r="L83" s="610"/>
    </row>
    <row r="84" spans="1:13" ht="9.9499999999999993" customHeight="1">
      <c r="B84" s="2760">
        <f ca="1">NOW()</f>
        <v>45804.647175925929</v>
      </c>
      <c r="C84" s="2760"/>
      <c r="D84" s="2760"/>
      <c r="L84" s="779" t="str">
        <f>Entrées!C8&amp;" / "&amp;Entrées!C7&amp;" / "&amp;Entrées!H7&amp;" / "&amp;Entrées!J7&amp;" / "&amp;Entrées!J8&amp;" / "&amp;Entrées!G55&amp;" / "&amp;Entrées!G57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93" t="s">
        <v>1692</v>
      </c>
      <c r="C87" s="2794"/>
      <c r="D87" s="2794"/>
      <c r="E87" s="2794"/>
      <c r="F87" s="2795"/>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Entrées!B1</f>
        <v>v2.95</v>
      </c>
      <c r="C1" s="5"/>
      <c r="D1" s="5"/>
      <c r="E1" s="5"/>
      <c r="F1" s="5"/>
      <c r="G1" s="5"/>
      <c r="H1" s="5"/>
      <c r="I1" s="5"/>
      <c r="J1" s="5"/>
      <c r="K1" s="5"/>
      <c r="L1" s="779"/>
      <c r="M1" s="779" t="str">
        <f>Entrées!K1</f>
        <v>Formulaire EN-101 BE, v2.95</v>
      </c>
      <c r="N1" s="1528"/>
    </row>
    <row r="2" spans="1:23" ht="13.15" customHeight="1">
      <c r="B2" s="1680"/>
      <c r="C2" s="820"/>
      <c r="D2" s="820"/>
      <c r="E2" s="820"/>
      <c r="F2" s="820"/>
      <c r="G2" s="1681"/>
      <c r="H2" s="2859" t="str">
        <f>IF(bern,Uebersetzung!D710,Uebersetzung!D320)</f>
        <v>Protection thermique estivale
(entrée facultative)</v>
      </c>
      <c r="I2" s="2860"/>
      <c r="J2" s="2860"/>
      <c r="K2" s="2860"/>
      <c r="L2" s="2860"/>
      <c r="M2" s="2861"/>
      <c r="N2" s="1528"/>
    </row>
    <row r="3" spans="1:23" ht="20.25">
      <c r="B3" s="2456">
        <f>IF(MUKEN,1,0)</f>
        <v>0</v>
      </c>
      <c r="C3" s="143">
        <f>IF(OR(MUKEN,bern),0,1)</f>
        <v>0</v>
      </c>
      <c r="D3" s="2455">
        <f>IF(bern,1,0)</f>
        <v>1</v>
      </c>
      <c r="E3" s="42"/>
      <c r="F3" s="2796"/>
      <c r="G3" s="2599"/>
      <c r="H3" s="2862"/>
      <c r="I3" s="2863"/>
      <c r="J3" s="2863"/>
      <c r="K3" s="2863"/>
      <c r="L3" s="2863"/>
      <c r="M3" s="2864"/>
      <c r="N3" s="1528"/>
    </row>
    <row r="4" spans="1:23" ht="13.9" customHeight="1">
      <c r="B4" s="94"/>
      <c r="C4" s="60"/>
      <c r="D4" s="60"/>
      <c r="E4" s="60"/>
      <c r="F4" s="60"/>
      <c r="G4" s="116"/>
      <c r="H4" s="2865"/>
      <c r="I4" s="2866"/>
      <c r="J4" s="2866"/>
      <c r="K4" s="2866"/>
      <c r="L4" s="2866"/>
      <c r="M4" s="2867"/>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68" t="str">
        <f>IF(Projekt1="","",Projekt1)</f>
        <v/>
      </c>
      <c r="C7" s="2869"/>
      <c r="D7" s="2869"/>
      <c r="E7" s="2869"/>
      <c r="F7" s="2869"/>
      <c r="G7" s="2869"/>
      <c r="H7" s="2869"/>
      <c r="I7" s="2869"/>
      <c r="J7" s="2869"/>
      <c r="K7" s="2869"/>
      <c r="L7" s="2869"/>
      <c r="M7" s="2870"/>
      <c r="N7" s="1528"/>
      <c r="O7" s="1018"/>
      <c r="P7" s="1018"/>
      <c r="Q7" s="1018"/>
      <c r="R7" s="1018"/>
      <c r="S7" s="1018"/>
    </row>
    <row r="8" spans="1:23" ht="15" hidden="1" customHeight="1">
      <c r="B8" s="2871"/>
      <c r="C8" s="2872"/>
      <c r="D8" s="2872"/>
      <c r="E8" s="2872"/>
      <c r="F8" s="2872"/>
      <c r="G8" s="2872"/>
      <c r="H8" s="2872"/>
      <c r="I8" s="2872"/>
      <c r="J8" s="2872"/>
      <c r="K8" s="2872"/>
      <c r="L8" s="2872"/>
      <c r="M8" s="2873"/>
      <c r="N8" s="1528"/>
      <c r="O8" s="1018"/>
      <c r="P8" s="1018"/>
      <c r="Q8" s="1018"/>
      <c r="R8" s="1018"/>
      <c r="S8" s="1018"/>
    </row>
    <row r="9" spans="1:23" ht="24.95" customHeight="1">
      <c r="A9" s="1528" t="s">
        <v>3264</v>
      </c>
      <c r="B9" s="2855" t="str">
        <f>IF(Projekt4="","",Projekt4)</f>
        <v/>
      </c>
      <c r="C9" s="2856"/>
      <c r="D9" s="2856"/>
      <c r="E9" s="2856"/>
      <c r="F9" s="2856"/>
      <c r="G9" s="2856"/>
      <c r="H9" s="2856"/>
      <c r="I9" s="2856"/>
      <c r="J9" s="2856"/>
      <c r="K9" s="2856"/>
      <c r="L9" s="2856"/>
      <c r="M9" s="2857"/>
      <c r="N9" s="1528"/>
      <c r="O9" s="1015"/>
      <c r="P9" s="1018"/>
      <c r="Q9" s="1015"/>
      <c r="R9" s="1015"/>
      <c r="S9" s="1015"/>
    </row>
    <row r="10" spans="1:23" ht="39.950000000000003" customHeight="1">
      <c r="A10" s="1528" t="s">
        <v>3445</v>
      </c>
      <c r="B10" s="2858" t="str">
        <f>Uebersetzung!D322</f>
        <v>Variante 1: Evaluation globale de cas standards pour les affectations suivantes: habitation, bureau individuel ou paysager, salle de réunion et dépôt (sans refroidissement)</v>
      </c>
      <c r="C10" s="2858"/>
      <c r="D10" s="2858"/>
      <c r="E10" s="2858"/>
      <c r="F10" s="2858"/>
      <c r="G10" s="2858"/>
      <c r="H10" s="2858"/>
      <c r="I10" s="2858"/>
      <c r="J10" s="2858"/>
      <c r="K10" s="2858"/>
      <c r="L10" s="2858"/>
      <c r="M10" s="1676"/>
      <c r="N10" s="1528"/>
      <c r="O10" s="1015"/>
      <c r="P10" s="1018"/>
      <c r="Q10" s="1015"/>
      <c r="R10" s="1015"/>
      <c r="S10" s="1015"/>
    </row>
    <row r="11" spans="1:23" ht="15" customHeight="1">
      <c r="B11" s="2892" t="str">
        <f>Uebersetzung!D323</f>
        <v>L'évaluation globale est valable pour les zones dans lesquelles les conditions suivantes sont respectées pour tous les locaux:</v>
      </c>
      <c r="C11" s="2893"/>
      <c r="D11" s="2893"/>
      <c r="E11" s="2893"/>
      <c r="F11" s="2893"/>
      <c r="G11" s="2893"/>
      <c r="H11" s="2893"/>
      <c r="I11" s="2893"/>
      <c r="J11" s="2893"/>
      <c r="K11" s="2893"/>
      <c r="L11" s="2893"/>
      <c r="M11" s="2894"/>
      <c r="N11" s="1528"/>
      <c r="O11" s="1019"/>
      <c r="P11" s="1019"/>
      <c r="Q11" s="1019"/>
      <c r="R11" s="1055">
        <v>1</v>
      </c>
      <c r="S11" s="1327">
        <v>1</v>
      </c>
    </row>
    <row r="12" spans="1:23" ht="15" customHeight="1">
      <c r="A12" s="1530"/>
      <c r="B12" s="2902" t="str">
        <f>Uebersetzung!D537</f>
        <v>- Pas d'ouverture zénithale</v>
      </c>
      <c r="C12" s="2903"/>
      <c r="D12" s="2903"/>
      <c r="E12" s="2903"/>
      <c r="F12" s="2903"/>
      <c r="G12" s="2903"/>
      <c r="H12" s="2903"/>
      <c r="I12" s="2903"/>
      <c r="J12" s="2903"/>
      <c r="K12" s="2903"/>
      <c r="L12" s="2903"/>
      <c r="M12" s="2904"/>
      <c r="N12" s="1528"/>
      <c r="O12" s="1689" t="str">
        <f>Uebersetzung!D27</f>
        <v>n.a.</v>
      </c>
      <c r="P12" s="1685" t="str">
        <f>O12</f>
        <v>n.a.</v>
      </c>
      <c r="Q12" s="1685" t="str">
        <f>Uebersetzung!D350</f>
        <v>Volets roulants</v>
      </c>
      <c r="R12" s="1021">
        <v>2</v>
      </c>
      <c r="S12" s="1022">
        <v>4</v>
      </c>
    </row>
    <row r="13" spans="1:23" ht="15" customHeight="1">
      <c r="B13" s="2902" t="str">
        <f>Uebersetzung!D538</f>
        <v>- Protection solaire extérieure mobile avec stores à rouleau ou à lamellles (valeur g-total max. 0.1)</v>
      </c>
      <c r="C13" s="2903"/>
      <c r="D13" s="2903"/>
      <c r="E13" s="2903"/>
      <c r="F13" s="2903"/>
      <c r="G13" s="2903"/>
      <c r="H13" s="2903"/>
      <c r="I13" s="2903"/>
      <c r="J13" s="2903"/>
      <c r="K13" s="2903"/>
      <c r="L13" s="2903"/>
      <c r="M13" s="2904"/>
      <c r="N13" s="1528"/>
      <c r="O13" s="1024" t="str">
        <f>Uebersetzung!D25</f>
        <v>oui</v>
      </c>
      <c r="P13" s="1024" t="str">
        <f>O13</f>
        <v>oui</v>
      </c>
      <c r="Q13" s="1024" t="str">
        <f>Uebersetzung!D351</f>
        <v>Stores à lamelles</v>
      </c>
      <c r="R13" s="1055">
        <v>3</v>
      </c>
      <c r="S13" s="1327">
        <v>2</v>
      </c>
    </row>
    <row r="14" spans="1:23" ht="15" customHeight="1">
      <c r="B14" s="1740" t="str">
        <f>Uebersetzung!D539</f>
        <v>- Rafraîchis. nocturne par les fen. possible (précision : la protect. contre l'effraction n'est en général pas contrôlée dans le cadre de la certif. Minergie)</v>
      </c>
      <c r="C14" s="1741"/>
      <c r="D14" s="1741"/>
      <c r="E14" s="1741"/>
      <c r="F14" s="1741"/>
      <c r="G14" s="1741"/>
      <c r="H14" s="1741"/>
      <c r="I14" s="1741"/>
      <c r="J14" s="1741"/>
      <c r="K14" s="1741"/>
      <c r="L14" s="1741"/>
      <c r="M14" s="1742"/>
      <c r="N14" s="1528"/>
      <c r="O14" s="1024" t="str">
        <f>Uebersetzung!D26</f>
        <v>non</v>
      </c>
      <c r="P14" s="1024" t="str">
        <f>O14</f>
        <v>non</v>
      </c>
      <c r="Q14" s="1024" t="str">
        <f>Uebersetzung!D352</f>
        <v>Module Minergie</v>
      </c>
      <c r="R14" s="1055">
        <v>4</v>
      </c>
      <c r="S14" s="1327">
        <v>3</v>
      </c>
    </row>
    <row r="15" spans="1:23" ht="15" customHeight="1">
      <c r="B15" s="2905" t="str">
        <f>Uebersetzung!D327</f>
        <v>- charges thermiques internes pas plus élevées que la valeur standard figurant dans le cahier technique SIA 2024.</v>
      </c>
      <c r="C15" s="2906"/>
      <c r="D15" s="2906"/>
      <c r="E15" s="2906"/>
      <c r="F15" s="2906"/>
      <c r="G15" s="2906"/>
      <c r="H15" s="2906"/>
      <c r="I15" s="2906"/>
      <c r="J15" s="2906"/>
      <c r="K15" s="2906"/>
      <c r="L15" s="2906"/>
      <c r="M15" s="2907"/>
      <c r="N15" s="1528"/>
      <c r="O15" s="1026"/>
      <c r="P15" s="1026"/>
      <c r="Q15" s="1026" t="str">
        <f>Uebersetzung!D353</f>
        <v>Autres</v>
      </c>
      <c r="R15" s="1055">
        <v>5</v>
      </c>
      <c r="S15" s="1015"/>
    </row>
    <row r="16" spans="1:23" ht="17.100000000000001" customHeight="1">
      <c r="B16" s="2895" t="str">
        <f>Uebersetzung!D558</f>
        <v>- Résistance au vent des protections solaires extérieures mobiles d'au moins classe 5</v>
      </c>
      <c r="C16" s="2896"/>
      <c r="D16" s="2896"/>
      <c r="E16" s="2896"/>
      <c r="F16" s="2896"/>
      <c r="G16" s="2896"/>
      <c r="H16" s="2896"/>
      <c r="I16" s="2896"/>
      <c r="J16" s="2896"/>
      <c r="K16" s="2896"/>
      <c r="L16" s="2896"/>
      <c r="M16" s="2897"/>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Les locaux de cette zone satisfont-ils les critères?</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76" t="s">
        <v>3265</v>
      </c>
      <c r="B19" s="2877" t="str">
        <f>Uebersetzung!D329</f>
        <v>Protection solaire extérieure mobile. A déclarer ici sous "autres":</v>
      </c>
      <c r="C19" s="2878"/>
      <c r="D19" s="2878"/>
      <c r="E19" s="2878"/>
      <c r="F19" s="2878"/>
      <c r="G19" s="2878"/>
      <c r="H19" s="2879"/>
      <c r="I19" s="2880"/>
      <c r="J19" s="2880"/>
      <c r="K19" s="2880"/>
      <c r="L19" s="2882"/>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76"/>
      <c r="B20" s="2884"/>
      <c r="C20" s="2885"/>
      <c r="D20" s="2885"/>
      <c r="E20" s="2885"/>
      <c r="F20" s="2885"/>
      <c r="G20" s="2885"/>
      <c r="H20" s="1697"/>
      <c r="I20" s="2881"/>
      <c r="J20" s="2881"/>
      <c r="K20" s="2881"/>
      <c r="L20" s="2883"/>
      <c r="M20" s="1718"/>
      <c r="N20" s="1528"/>
      <c r="O20" s="128"/>
      <c r="P20" s="1065"/>
      <c r="Q20" s="1065"/>
      <c r="R20" s="1717"/>
      <c r="S20" s="1716"/>
      <c r="T20" s="1715"/>
      <c r="U20" s="1714"/>
      <c r="V20" s="1714"/>
      <c r="W20" s="1713"/>
    </row>
    <row r="21" spans="1:23" ht="18" customHeight="1">
      <c r="A21" s="1528" t="s">
        <v>1735</v>
      </c>
      <c r="B21" s="2852" t="str">
        <f>Uebersetzung!D530</f>
        <v>Habitat (individuel, collectif), pièce jusqu'à 2 façades, plafond en béton apparent (&gt;80% libre)</v>
      </c>
      <c r="C21" s="2853"/>
      <c r="D21" s="2853"/>
      <c r="E21" s="2853"/>
      <c r="F21" s="2853"/>
      <c r="G21" s="2853"/>
      <c r="H21" s="2854"/>
      <c r="I21" s="2833"/>
      <c r="J21" s="2833"/>
      <c r="K21" s="2833"/>
      <c r="L21" s="2831"/>
      <c r="M21" s="2822"/>
      <c r="N21" s="1528"/>
      <c r="O21" s="2824" t="b">
        <f>OR(I21=$O$12,I21=$O$13)</f>
        <v>0</v>
      </c>
      <c r="P21" s="2846" t="b">
        <f>OR(J21=$O$12,J21=$O$13)</f>
        <v>0</v>
      </c>
      <c r="Q21" s="2846" t="b">
        <f>OR(K21=$O$12,K21=$O$13)</f>
        <v>0</v>
      </c>
      <c r="R21" s="2849" t="b">
        <f>OR(L21=$O$12,L21=$O$13)</f>
        <v>0</v>
      </c>
      <c r="S21" s="1015"/>
      <c r="T21" s="2847" t="b">
        <f>I21&lt;&gt;$O$12</f>
        <v>1</v>
      </c>
      <c r="U21" s="2848" t="b">
        <f>J21&lt;&gt;$O$12</f>
        <v>1</v>
      </c>
      <c r="V21" s="2848" t="b">
        <f>K21&lt;&gt;$O$12</f>
        <v>1</v>
      </c>
      <c r="W21" s="2850" t="b">
        <f>L21&lt;&gt;$O$12</f>
        <v>1</v>
      </c>
    </row>
    <row r="22" spans="1:23" ht="18" customHeight="1">
      <c r="B22" s="2851" t="str">
        <f>Uebersetzung!D531</f>
        <v>- Indice de vitrage maximal</v>
      </c>
      <c r="C22" s="2842"/>
      <c r="D22" s="2842"/>
      <c r="E22" s="2842"/>
      <c r="F22" s="2842"/>
      <c r="G22" s="2842"/>
      <c r="H22" s="1688" t="str">
        <f>Standardwerte!K210</f>
        <v/>
      </c>
      <c r="I22" s="2834"/>
      <c r="J22" s="2834"/>
      <c r="K22" s="2834"/>
      <c r="L22" s="2832"/>
      <c r="M22" s="2823"/>
      <c r="N22" s="1528"/>
      <c r="O22" s="2824"/>
      <c r="P22" s="2846"/>
      <c r="Q22" s="2846"/>
      <c r="R22" s="2849"/>
      <c r="S22" s="1015"/>
      <c r="T22" s="2847"/>
      <c r="U22" s="2848"/>
      <c r="V22" s="2848"/>
      <c r="W22" s="2850"/>
    </row>
    <row r="23" spans="1:23" ht="27.95" customHeight="1">
      <c r="A23" s="1528" t="s">
        <v>1737</v>
      </c>
      <c r="B23" s="2843" t="str">
        <f>Uebersetzung!D532</f>
        <v>Habitat (individuel, collectif), pièce jusqu'à 2 façades, plafond en bois et chape ciment min. 6 cm ou anhydrite min. 5 cm d'épais</v>
      </c>
      <c r="C23" s="2844"/>
      <c r="D23" s="2844"/>
      <c r="E23" s="2844"/>
      <c r="F23" s="2844"/>
      <c r="G23" s="2844"/>
      <c r="H23" s="2845"/>
      <c r="I23" s="2833"/>
      <c r="J23" s="2833"/>
      <c r="K23" s="2833"/>
      <c r="L23" s="2831"/>
      <c r="M23" s="2822"/>
      <c r="N23" s="1528"/>
      <c r="O23" s="2824" t="b">
        <f>OR(I23=$O$12,I23=$O$13)</f>
        <v>0</v>
      </c>
      <c r="P23" s="2846" t="b">
        <f>OR(J23=$O$12,J23=$O$13)</f>
        <v>0</v>
      </c>
      <c r="Q23" s="2846" t="b">
        <f>OR(K23=$O$12,K23=$O$13)</f>
        <v>0</v>
      </c>
      <c r="R23" s="2849" t="b">
        <f>OR(L23=$O$12,L23=$O$13)</f>
        <v>0</v>
      </c>
      <c r="S23" s="1015"/>
      <c r="T23" s="2847" t="b">
        <f>I23&lt;&gt;$O$12</f>
        <v>1</v>
      </c>
      <c r="U23" s="2848" t="b">
        <f>J23&lt;&gt;$O$12</f>
        <v>1</v>
      </c>
      <c r="V23" s="2848" t="b">
        <f>K23&lt;&gt;$O$12</f>
        <v>1</v>
      </c>
      <c r="W23" s="2850" t="b">
        <f>L23&lt;&gt;$O$12</f>
        <v>1</v>
      </c>
    </row>
    <row r="24" spans="1:23" ht="18" customHeight="1">
      <c r="B24" s="2841" t="str">
        <f>Uebersetzung!D531</f>
        <v>- Indice de vitrage maximal</v>
      </c>
      <c r="C24" s="2842"/>
      <c r="D24" s="2842"/>
      <c r="E24" s="2842"/>
      <c r="F24" s="2842"/>
      <c r="G24" s="2842"/>
      <c r="H24" s="1688" t="str">
        <f>Standardwerte!L210</f>
        <v/>
      </c>
      <c r="I24" s="2834"/>
      <c r="J24" s="2834"/>
      <c r="K24" s="2834"/>
      <c r="L24" s="2832"/>
      <c r="M24" s="2823"/>
      <c r="N24" s="1528"/>
      <c r="O24" s="2824"/>
      <c r="P24" s="2846"/>
      <c r="Q24" s="2846"/>
      <c r="R24" s="2849"/>
      <c r="S24" s="1015"/>
      <c r="T24" s="2847"/>
      <c r="U24" s="2848"/>
      <c r="V24" s="2848"/>
      <c r="W24" s="2850"/>
    </row>
    <row r="25" spans="1:23" ht="32.1" customHeight="1">
      <c r="A25" s="1528" t="s">
        <v>1739</v>
      </c>
      <c r="B25" s="2843" t="str">
        <f>Uebersetzung!D533</f>
        <v>Habitat (ind., coll.), pièce avec 1 façade, plafond en béton apparent (&gt;80% libre), orientation SSE-SSO et ombrage par balcon de min. 1 m de profondeur</v>
      </c>
      <c r="C25" s="2844"/>
      <c r="D25" s="2844"/>
      <c r="E25" s="2844"/>
      <c r="F25" s="2844"/>
      <c r="G25" s="2844"/>
      <c r="H25" s="2845"/>
      <c r="I25" s="2833"/>
      <c r="J25" s="2833"/>
      <c r="K25" s="2833"/>
      <c r="L25" s="2831"/>
      <c r="M25" s="2822"/>
      <c r="N25" s="1528"/>
      <c r="O25" s="2824" t="b">
        <f>OR(I25=$O$12,I25=$O$13)</f>
        <v>0</v>
      </c>
      <c r="P25" s="2846" t="b">
        <f>OR(J25=$O$12,J25=$O$13)</f>
        <v>0</v>
      </c>
      <c r="Q25" s="2846" t="b">
        <f>OR(K25=$O$12,K25=$O$13)</f>
        <v>0</v>
      </c>
      <c r="R25" s="2849" t="b">
        <f>OR(L25=$O$12,L25=$O$13)</f>
        <v>0</v>
      </c>
      <c r="S25" s="1015"/>
      <c r="T25" s="2847" t="b">
        <f>I25&lt;&gt;$O$12</f>
        <v>1</v>
      </c>
      <c r="U25" s="2848" t="b">
        <f>J25&lt;&gt;$O$12</f>
        <v>1</v>
      </c>
      <c r="V25" s="2848" t="b">
        <f>K25&lt;&gt;$O$12</f>
        <v>1</v>
      </c>
      <c r="W25" s="2850" t="b">
        <f>L25&lt;&gt;$O$12</f>
        <v>1</v>
      </c>
    </row>
    <row r="26" spans="1:23" ht="18" customHeight="1">
      <c r="B26" s="2841" t="str">
        <f>Uebersetzung!D531</f>
        <v>- Indice de vitrage maximal</v>
      </c>
      <c r="C26" s="2842"/>
      <c r="D26" s="2842"/>
      <c r="E26" s="2842"/>
      <c r="F26" s="2842"/>
      <c r="G26" s="2842"/>
      <c r="H26" s="1688" t="str">
        <f>Standardwerte!M210</f>
        <v/>
      </c>
      <c r="I26" s="2834"/>
      <c r="J26" s="2834"/>
      <c r="K26" s="2834"/>
      <c r="L26" s="2832"/>
      <c r="M26" s="2823"/>
      <c r="N26" s="1528"/>
      <c r="O26" s="2824"/>
      <c r="P26" s="2846"/>
      <c r="Q26" s="2846"/>
      <c r="R26" s="2849"/>
      <c r="S26" s="1015"/>
      <c r="T26" s="2847"/>
      <c r="U26" s="2848"/>
      <c r="V26" s="2848"/>
      <c r="W26" s="2850"/>
    </row>
    <row r="27" spans="1:23" ht="32.1" customHeight="1">
      <c r="A27" s="1528" t="s">
        <v>3283</v>
      </c>
      <c r="B27" s="2843" t="str">
        <f>Uebersetzung!D534</f>
        <v>Plafond en béton apparent (&gt;40% libre) et commande automatique de la protection solaire. Valeur g vitrage ≤ 30%</v>
      </c>
      <c r="C27" s="2844"/>
      <c r="D27" s="2844"/>
      <c r="E27" s="2844"/>
      <c r="F27" s="2844"/>
      <c r="G27" s="2844"/>
      <c r="H27" s="2845"/>
      <c r="I27" s="2833"/>
      <c r="J27" s="2833"/>
      <c r="K27" s="2833"/>
      <c r="L27" s="2831"/>
      <c r="M27" s="2822"/>
      <c r="N27" s="1528"/>
      <c r="O27" s="2824" t="b">
        <f>OR(I27=$O$12,I27=$O$13)</f>
        <v>0</v>
      </c>
      <c r="P27" s="2846" t="b">
        <f>OR(J27=$O$12,J27=$O$13)</f>
        <v>0</v>
      </c>
      <c r="Q27" s="2846" t="b">
        <f>OR(K27=$O$12,K27=$O$13)</f>
        <v>0</v>
      </c>
      <c r="R27" s="2849" t="b">
        <f>OR(L27=$O$12,L27=$O$13)</f>
        <v>0</v>
      </c>
      <c r="S27" s="1015"/>
      <c r="T27" s="2847" t="b">
        <f>I27&lt;&gt;$O$12</f>
        <v>1</v>
      </c>
      <c r="U27" s="2848" t="b">
        <f>J27&lt;&gt;$O$12</f>
        <v>1</v>
      </c>
      <c r="V27" s="2848" t="b">
        <f>K27&lt;&gt;$O$12</f>
        <v>1</v>
      </c>
      <c r="W27" s="2850" t="b">
        <f>L27&lt;&gt;$O$12</f>
        <v>1</v>
      </c>
    </row>
    <row r="28" spans="1:23" ht="18" customHeight="1">
      <c r="B28" s="2841" t="str">
        <f>Uebersetzung!D531</f>
        <v>- Indice de vitrage maximal</v>
      </c>
      <c r="C28" s="2842"/>
      <c r="D28" s="2842"/>
      <c r="E28" s="2842"/>
      <c r="F28" s="2842"/>
      <c r="G28" s="2842"/>
      <c r="H28" s="1688" t="str">
        <f>Standardwerte!N210</f>
        <v/>
      </c>
      <c r="I28" s="2834"/>
      <c r="J28" s="2834"/>
      <c r="K28" s="2834"/>
      <c r="L28" s="2832"/>
      <c r="M28" s="2823"/>
      <c r="N28" s="1528"/>
      <c r="O28" s="2824"/>
      <c r="P28" s="2846"/>
      <c r="Q28" s="2846"/>
      <c r="R28" s="2849"/>
      <c r="S28" s="1015"/>
      <c r="T28" s="2847"/>
      <c r="U28" s="2848"/>
      <c r="V28" s="2848"/>
      <c r="W28" s="2850"/>
    </row>
    <row r="29" spans="1:23" ht="15.95" customHeight="1">
      <c r="A29" s="1528" t="s">
        <v>3266</v>
      </c>
      <c r="B29" s="2828" t="str">
        <f>Uebersetzung!D337</f>
        <v>Dépôt avec faibles charges thermiques internes</v>
      </c>
      <c r="C29" s="2829"/>
      <c r="D29" s="2829"/>
      <c r="E29" s="2829"/>
      <c r="F29" s="2829"/>
      <c r="G29" s="2829"/>
      <c r="H29" s="2829"/>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838" t="str">
        <f>Uebersetzung!D338</f>
        <v>"n.a.":    non applicable. Un tel type de local n'existe pas.
"oui":     il y a un local de ce type et tous les critères sont remplis.
"non":    il y a un local de ce type mais tous les critères ne sont pas remplis (p.ex. taux de surface vitrée trop élevé).</v>
      </c>
      <c r="C30" s="2839"/>
      <c r="D30" s="2839"/>
      <c r="E30" s="2839"/>
      <c r="F30" s="2839"/>
      <c r="G30" s="2839"/>
      <c r="H30" s="2839"/>
      <c r="I30" s="2839"/>
      <c r="J30" s="2839"/>
      <c r="K30" s="2839"/>
      <c r="L30" s="2840"/>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 Justificatif externe des critères selon SIA 382/1 et SIA 180 (sans refroidissement)</v>
      </c>
      <c r="C32" s="1019"/>
      <c r="D32" s="1019"/>
      <c r="E32" s="1019"/>
      <c r="F32" s="1019"/>
      <c r="G32" s="1019"/>
      <c r="H32" s="1019"/>
      <c r="I32" s="1019"/>
      <c r="J32" s="1019"/>
      <c r="K32" s="1019"/>
      <c r="L32" s="1019"/>
      <c r="M32" s="1019"/>
      <c r="N32" s="1528"/>
      <c r="O32" s="1689" t="str">
        <f>Uebersetzung!D25</f>
        <v>oui</v>
      </c>
      <c r="P32" s="1019"/>
      <c r="Q32" s="1019"/>
      <c r="R32" s="1019"/>
      <c r="S32" s="1015"/>
    </row>
    <row r="33" spans="1:24" ht="15.95" customHeight="1">
      <c r="B33" s="1076" t="str">
        <f>Uebersetzung!D342</f>
        <v>Les conditions propres au respect de ces critères sont décrites et documentées en annexe.</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non</v>
      </c>
      <c r="P33" s="1019"/>
      <c r="Q33" s="1019"/>
      <c r="R33" s="1019"/>
      <c r="S33" s="1015"/>
      <c r="T33" s="1691" t="s">
        <v>3267</v>
      </c>
      <c r="U33" s="1692">
        <v>0</v>
      </c>
      <c r="V33" s="1691" t="s">
        <v>3268</v>
      </c>
      <c r="W33" s="1691"/>
    </row>
    <row r="34" spans="1:24" ht="20.100000000000001" customHeight="1">
      <c r="B34" s="1057"/>
      <c r="C34" s="2835" t="str">
        <f>Uebersetzung!D29</f>
        <v>Zone</v>
      </c>
      <c r="D34" s="2836"/>
      <c r="E34" s="2836"/>
      <c r="F34" s="2836"/>
      <c r="G34" s="2836"/>
      <c r="H34" s="2837"/>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825" t="str">
        <f>Uebersetzung!D536</f>
        <v>Exigences constructives de la protection thermique estivale selon le justificatif pour la protection thermique estivale, Variante 2, remplies?</v>
      </c>
      <c r="C35" s="2826"/>
      <c r="D35" s="2826"/>
      <c r="E35" s="2826"/>
      <c r="F35" s="2826"/>
      <c r="G35" s="2826"/>
      <c r="H35" s="2827"/>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28" t="str">
        <f>Uebersetzung!D541</f>
        <v>Exigences des critères de confort selon le justificatif pour la protection thermique estivale remplies?</v>
      </c>
      <c r="C36" s="2829"/>
      <c r="D36" s="2829"/>
      <c r="E36" s="2829"/>
      <c r="F36" s="2829"/>
      <c r="G36" s="2829"/>
      <c r="H36" s="2830"/>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91"/>
      <c r="D37" s="2829"/>
      <c r="E37" s="2829"/>
      <c r="F37" s="2829"/>
      <c r="G37" s="2829"/>
      <c r="H37" s="2829"/>
      <c r="I37" s="1047"/>
      <c r="J37" s="1047"/>
      <c r="K37" s="1047"/>
      <c r="L37" s="1048"/>
      <c r="M37" s="1058"/>
      <c r="N37" s="1528"/>
      <c r="O37" s="1041"/>
      <c r="P37" s="1041"/>
      <c r="Q37" s="1041"/>
      <c r="R37" s="1023"/>
      <c r="S37" s="1015"/>
      <c r="T37" s="1040"/>
      <c r="U37" s="1041"/>
      <c r="V37" s="1041"/>
      <c r="W37" s="1023"/>
    </row>
    <row r="38" spans="1:24" hidden="1">
      <c r="A38" s="1528" t="s">
        <v>1738</v>
      </c>
      <c r="B38" s="1061"/>
      <c r="C38" s="2889"/>
      <c r="D38" s="2890"/>
      <c r="E38" s="2890"/>
      <c r="F38" s="2890"/>
      <c r="G38" s="2890"/>
      <c r="H38" s="2890"/>
      <c r="I38" s="1047"/>
      <c r="J38" s="1047"/>
      <c r="K38" s="1047"/>
      <c r="L38" s="1048"/>
      <c r="M38" s="1058"/>
      <c r="N38" s="1528"/>
      <c r="O38" s="1040"/>
      <c r="P38" s="1041"/>
      <c r="Q38" s="1041"/>
      <c r="R38" s="1023"/>
      <c r="S38" s="1015"/>
      <c r="T38" s="1040"/>
      <c r="U38" s="1041"/>
      <c r="V38" s="1041"/>
      <c r="W38" s="1023"/>
    </row>
    <row r="39" spans="1:24" hidden="1">
      <c r="A39" s="1528" t="s">
        <v>1739</v>
      </c>
      <c r="B39" s="1061"/>
      <c r="C39" s="2889"/>
      <c r="D39" s="2890"/>
      <c r="E39" s="2890"/>
      <c r="F39" s="2890"/>
      <c r="G39" s="2890"/>
      <c r="H39" s="2890"/>
      <c r="I39" s="1047"/>
      <c r="J39" s="1047"/>
      <c r="K39" s="1047"/>
      <c r="L39" s="1048"/>
      <c r="M39" s="1058"/>
      <c r="N39" s="1528"/>
      <c r="O39" s="1040"/>
      <c r="P39" s="1041"/>
      <c r="Q39" s="1041"/>
      <c r="R39" s="1023"/>
      <c r="S39" s="1015"/>
      <c r="T39" s="1040"/>
      <c r="U39" s="1041"/>
      <c r="V39" s="1041"/>
      <c r="W39" s="1023"/>
    </row>
    <row r="40" spans="1:24" hidden="1">
      <c r="A40" s="1528" t="s">
        <v>1740</v>
      </c>
      <c r="B40" s="1061"/>
      <c r="C40" s="2889"/>
      <c r="D40" s="2890"/>
      <c r="E40" s="2890"/>
      <c r="F40" s="2890"/>
      <c r="G40" s="2890"/>
      <c r="H40" s="2890"/>
      <c r="I40" s="1047"/>
      <c r="J40" s="1047"/>
      <c r="K40" s="1047"/>
      <c r="L40" s="1048"/>
      <c r="M40" s="1058"/>
      <c r="N40" s="1528"/>
      <c r="O40" s="1040"/>
      <c r="P40" s="1041"/>
      <c r="Q40" s="1041"/>
      <c r="R40" s="1023"/>
      <c r="S40" s="1015"/>
      <c r="T40" s="1040"/>
      <c r="U40" s="1041"/>
      <c r="V40" s="1041"/>
      <c r="W40" s="1023"/>
    </row>
    <row r="41" spans="1:24" hidden="1">
      <c r="A41" s="1528" t="s">
        <v>1740</v>
      </c>
      <c r="B41" s="1061"/>
      <c r="C41" s="2889"/>
      <c r="D41" s="2890"/>
      <c r="E41" s="2890"/>
      <c r="F41" s="2890"/>
      <c r="G41" s="2890"/>
      <c r="H41" s="2890"/>
      <c r="I41" s="1047"/>
      <c r="J41" s="1047"/>
      <c r="K41" s="1047"/>
      <c r="L41" s="1048"/>
      <c r="M41" s="1058"/>
      <c r="N41" s="1528"/>
      <c r="O41" s="1062"/>
      <c r="P41" s="1063"/>
      <c r="Q41" s="1063"/>
      <c r="R41" s="1025"/>
      <c r="S41" s="1015"/>
      <c r="T41" s="1040"/>
      <c r="U41" s="1041"/>
      <c r="V41" s="1041"/>
      <c r="W41" s="1023"/>
    </row>
    <row r="42" spans="1:24" ht="15.95" customHeight="1">
      <c r="B42" s="1064" t="str">
        <f>Uebersetzung!D345</f>
        <v>Remarques concernant la justification externe (manière, annexes, par ex. critères de choix selon Aide à l'utilisation):</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84"/>
      <c r="C43" s="2885"/>
      <c r="D43" s="2885"/>
      <c r="E43" s="2885"/>
      <c r="F43" s="2885"/>
      <c r="G43" s="2885"/>
      <c r="H43" s="2885"/>
      <c r="I43" s="2885"/>
      <c r="J43" s="2885"/>
      <c r="K43" s="2885"/>
      <c r="L43" s="2911"/>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 Justificatif externe des critères selon SIA 180 et SIA 382/1 (avec refroidissement)</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6" t="str">
        <f>Uebersetzung!D29</f>
        <v>Zone</v>
      </c>
      <c r="D46" s="2836"/>
      <c r="E46" s="2836"/>
      <c r="F46" s="2836"/>
      <c r="G46" s="2836"/>
      <c r="H46" s="2837"/>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912"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913"/>
      <c r="D47" s="2913"/>
      <c r="E47" s="2913"/>
      <c r="F47" s="2913"/>
      <c r="G47" s="2913"/>
      <c r="H47" s="2914"/>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28" t="str">
        <f>Uebersetzung!D348</f>
        <v>La zone est refroidie et les besoins en énergie sont calculés. 
Il n'y a aucune température trop élevée en été.</v>
      </c>
      <c r="C48" s="2829"/>
      <c r="D48" s="2829"/>
      <c r="E48" s="2829"/>
      <c r="F48" s="2829"/>
      <c r="G48" s="2829"/>
      <c r="H48" s="2829"/>
      <c r="I48" s="1047"/>
      <c r="J48" s="1047"/>
      <c r="K48" s="1047"/>
      <c r="L48" s="1048"/>
      <c r="M48" s="1058"/>
      <c r="N48" s="1528"/>
      <c r="O48" s="1040" t="b">
        <f t="shared" si="2"/>
        <v>0</v>
      </c>
      <c r="P48" s="1041" t="b">
        <f t="shared" si="2"/>
        <v>0</v>
      </c>
      <c r="Q48" s="1041" t="b">
        <f t="shared" si="2"/>
        <v>0</v>
      </c>
      <c r="R48" s="1023" t="b">
        <f t="shared" si="2"/>
        <v>0</v>
      </c>
      <c r="S48" s="1015"/>
      <c r="U48" s="2898" t="str">
        <f>IF(O30,Uebersetzung!$D322,IF(IF($U$33=1,T42,O42),Uebersetzung!$D535,IF(O51,Uebersetzung!$D346,"")))</f>
        <v/>
      </c>
      <c r="V48" s="2900" t="str">
        <f>IF(P30,Uebersetzung!$D322,IF(IF($U$33=1,U42,P42),Uebersetzung!$D535,IF(P51,Uebersetzung!$D346,"")))</f>
        <v/>
      </c>
      <c r="W48" s="2900" t="str">
        <f>IF(Q30,Uebersetzung!$D322,IF(IF($U$33=1,V42,Q42),Uebersetzung!$D535,IF(Q51,Uebersetzung!$D346,"")))</f>
        <v/>
      </c>
      <c r="X48" s="2874" t="str">
        <f>IF(R30,Uebersetzung!$D322,IF(IF($U$33=1,W42,R42),Uebersetzung!$D535,IF(R51,Uebersetzung!$D346,"")))</f>
        <v/>
      </c>
    </row>
    <row r="49" spans="1:24" ht="12.75" hidden="1" customHeight="1">
      <c r="A49" s="1528" t="s">
        <v>1745</v>
      </c>
      <c r="B49" s="2908"/>
      <c r="C49" s="2890"/>
      <c r="D49" s="2890"/>
      <c r="E49" s="2890"/>
      <c r="F49" s="2890"/>
      <c r="G49" s="2890"/>
      <c r="H49" s="2890"/>
      <c r="I49" s="1047"/>
      <c r="J49" s="1047"/>
      <c r="K49" s="1047"/>
      <c r="L49" s="1048"/>
      <c r="M49" s="1058"/>
      <c r="N49" s="1528"/>
      <c r="O49" s="1040" t="b">
        <f t="shared" si="2"/>
        <v>0</v>
      </c>
      <c r="P49" s="1041" t="b">
        <f t="shared" si="2"/>
        <v>0</v>
      </c>
      <c r="Q49" s="1041" t="b">
        <f t="shared" si="2"/>
        <v>0</v>
      </c>
      <c r="R49" s="1023" t="b">
        <f t="shared" si="2"/>
        <v>0</v>
      </c>
      <c r="S49" s="1015"/>
      <c r="U49" s="2898"/>
      <c r="V49" s="2900"/>
      <c r="W49" s="2900"/>
      <c r="X49" s="2874"/>
    </row>
    <row r="50" spans="1:24" ht="12.75" hidden="1" customHeight="1">
      <c r="A50" s="1528" t="s">
        <v>1746</v>
      </c>
      <c r="B50" s="2909"/>
      <c r="C50" s="2910"/>
      <c r="D50" s="2910"/>
      <c r="E50" s="2910"/>
      <c r="F50" s="2910"/>
      <c r="G50" s="2910"/>
      <c r="H50" s="2910"/>
      <c r="I50" s="1067"/>
      <c r="J50" s="1067"/>
      <c r="K50" s="1067"/>
      <c r="L50" s="1068"/>
      <c r="M50" s="1069"/>
      <c r="N50" s="1528"/>
      <c r="O50" s="1062" t="b">
        <f t="shared" si="2"/>
        <v>0</v>
      </c>
      <c r="P50" s="1063" t="b">
        <f t="shared" si="2"/>
        <v>0</v>
      </c>
      <c r="Q50" s="1063" t="b">
        <f t="shared" si="2"/>
        <v>0</v>
      </c>
      <c r="R50" s="1025" t="b">
        <f t="shared" si="2"/>
        <v>0</v>
      </c>
      <c r="S50" s="1015"/>
      <c r="U50" s="2898"/>
      <c r="V50" s="2900"/>
      <c r="W50" s="2900"/>
      <c r="X50" s="2874"/>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98"/>
      <c r="V51" s="2900"/>
      <c r="W51" s="2900"/>
      <c r="X51" s="2874"/>
    </row>
    <row r="52" spans="1:24" ht="32.1" customHeight="1">
      <c r="A52" s="1528" t="s">
        <v>2849</v>
      </c>
      <c r="B52" s="2886" t="str">
        <f>Uebersetzung!D349</f>
        <v>Selon cette déclaration, les exigences pour la protection thermique estivale sont remplies.</v>
      </c>
      <c r="C52" s="2887"/>
      <c r="D52" s="2887"/>
      <c r="E52" s="2887"/>
      <c r="F52" s="2887"/>
      <c r="G52" s="2887"/>
      <c r="H52" s="2888"/>
      <c r="I52" s="1071" t="str">
        <f>IF(O52,$O32,$O33)</f>
        <v>non</v>
      </c>
      <c r="J52" s="1071" t="str">
        <f>IF(P52,$O32,$O33)</f>
        <v>non</v>
      </c>
      <c r="K52" s="1071" t="str">
        <f>IF(Q52,$O32,$O33)</f>
        <v>non</v>
      </c>
      <c r="L52" s="1072" t="str">
        <f>IF(R52,$O32,$O33)</f>
        <v>non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99"/>
      <c r="V52" s="2901"/>
      <c r="W52" s="2901"/>
      <c r="X52" s="2875"/>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v2.95</v>
      </c>
      <c r="C1" s="3"/>
      <c r="D1" s="3"/>
      <c r="E1" s="340"/>
      <c r="F1" s="3"/>
      <c r="G1" s="3"/>
      <c r="H1" s="3"/>
      <c r="I1" s="158"/>
      <c r="J1" s="3"/>
      <c r="K1" s="1343" t="str">
        <f>Uebersetzung!D5</f>
        <v>Formulaire EN-101 BE, v2.95</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5" t="str">
        <f>Uebersetzung!D318</f>
        <v>Aperçu</v>
      </c>
      <c r="H2" s="2926"/>
      <c r="I2" s="2926"/>
      <c r="J2" s="2926"/>
      <c r="K2" s="2927"/>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28" t="str">
        <f>Uebersetzung!D376</f>
        <v>justificatif Minergie</v>
      </c>
      <c r="H3" s="2929"/>
      <c r="I3" s="2929"/>
      <c r="J3" s="2929"/>
      <c r="K3" s="2930"/>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Instructions</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Champ de saisie (obligatoire)</v>
      </c>
      <c r="C18" s="1279"/>
      <c r="D18" s="2931" t="str">
        <f>Uebersetzung!D426</f>
        <v>Champ de saisie (facultatif)</v>
      </c>
      <c r="E18" s="2931"/>
      <c r="F18" s="2931"/>
      <c r="G18" s="11"/>
      <c r="H18" s="2932" t="str">
        <f>Uebersetzung!D427</f>
        <v>Liste déroulante (obligatoire)</v>
      </c>
      <c r="I18" s="2932"/>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Projet</v>
      </c>
      <c r="C20" s="1213"/>
      <c r="D20" s="1214"/>
      <c r="E20" s="1214"/>
      <c r="F20" s="1214"/>
      <c r="G20" s="1214" t="str">
        <f>Uebersetzung!D18</f>
        <v>Justificatif pour:</v>
      </c>
      <c r="H20" s="673"/>
      <c r="I20" s="1214" t="str">
        <f>MINERGIE!F13</f>
        <v>Loi sur l'énergie bernoise 2023</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Nom du projet:</v>
      </c>
      <c r="C21" s="2935" t="str">
        <f>IF(Projekt1="","",Projekt1)</f>
        <v/>
      </c>
      <c r="D21" s="2935"/>
      <c r="E21" s="2935"/>
      <c r="F21" s="2935"/>
      <c r="G21" s="864" t="str">
        <f>Uebersetzung!D10</f>
        <v>N° cadastre:</v>
      </c>
      <c r="H21" s="1237">
        <f>Projekt2</f>
        <v>0</v>
      </c>
      <c r="I21" s="1396" t="str">
        <f>IF(MUKEN,Uebersetzung!D11,Uebersetzung!D358)</f>
        <v xml:space="preserve">N° MOP: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Adresse du bâtiment:</v>
      </c>
      <c r="C22" s="2933">
        <f>Entrées!C8</f>
        <v>0</v>
      </c>
      <c r="D22" s="2933"/>
      <c r="E22" s="2933"/>
      <c r="F22" s="2933"/>
      <c r="G22" s="2933"/>
      <c r="H22" s="2933"/>
      <c r="I22" s="2933"/>
      <c r="J22" s="2933"/>
      <c r="K22" s="2934"/>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Satisfaction de l'exigence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564" t="str">
        <f>Uebersetzung!D294</f>
        <v>Exigences</v>
      </c>
      <c r="G29" s="2936"/>
      <c r="H29" s="2564" t="str">
        <f>Uebersetzung!D295</f>
        <v>Valeur calculée</v>
      </c>
      <c r="I29" s="2936"/>
      <c r="J29" s="773"/>
      <c r="K29" s="774" t="str">
        <f>Uebersetzung!D299</f>
        <v>Respectée?</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Indice Minergie en kWh/m2  (exploitation du bâtiment)</v>
      </c>
      <c r="C30" s="1213"/>
      <c r="D30" s="2385"/>
      <c r="E30" s="2386"/>
      <c r="F30" s="2937">
        <f>IF(bern,,MINERGIE!Z43)</f>
        <v>0</v>
      </c>
      <c r="G30" s="2938"/>
      <c r="H30" s="2937">
        <f>IF(bern,,IF(MUKEN=FALSE,Justificatif!I59))</f>
        <v>0</v>
      </c>
      <c r="I30" s="2938"/>
      <c r="J30" s="918"/>
      <c r="K30" s="2387" t="str">
        <f>IF(OR(MUKEN,bern),Uebersetzung!D26,IF(AND(F38&gt;0,H38=0),Uebersetzung!D26,IF(ROUND(F30,1)&gt;=ROUND(H30,1),IF(EBF&gt;0,Uebersetzung!D25,Uebersetzung!D26),Uebersetzung!D26)))</f>
        <v>non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Emission de GES pendant l'exploitatio en CO2/m2 (Scope 1)</v>
      </c>
      <c r="C31" s="2324"/>
      <c r="D31" s="2324"/>
      <c r="E31" s="2382"/>
      <c r="F31" s="2939" t="str">
        <f>Uebersetzung!D462</f>
        <v>Pas d’exigence</v>
      </c>
      <c r="G31" s="2940"/>
      <c r="H31" s="2939">
        <f>Justificatif!AL45</f>
        <v>0</v>
      </c>
      <c r="I31" s="2940"/>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Satisfaction des exigences de base  (exploitation du bâtiment)</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564" t="str">
        <f>Uebersetzung!D294</f>
        <v>Exigences</v>
      </c>
      <c r="G36" s="2936"/>
      <c r="H36" s="2564" t="str">
        <f>Uebersetzung!D295</f>
        <v>Valeur calculée</v>
      </c>
      <c r="I36" s="2936"/>
      <c r="J36" s="773"/>
      <c r="K36" s="774" t="str">
        <f>Uebersetzung!D299</f>
        <v>Respectée?</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Besoins de chaleur en kWh/m²</v>
      </c>
      <c r="C37" s="1216"/>
      <c r="D37" s="1216"/>
      <c r="E37" s="1500" t="s">
        <v>2606</v>
      </c>
      <c r="F37" s="2948">
        <f>MINERGIE!Z19</f>
        <v>0</v>
      </c>
      <c r="G37" s="2949"/>
      <c r="H37" s="2948">
        <f>MINERGIE!Z25</f>
        <v>0</v>
      </c>
      <c r="I37" s="2949"/>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Energie finale sans photovoltaïque en kWh/m²</v>
      </c>
      <c r="C38" s="1218"/>
      <c r="D38" s="1218"/>
      <c r="E38" s="1219"/>
      <c r="F38" s="2921">
        <f>IF(bern,,IF(Justificatif!L43="",0,Justificatif!L43))</f>
        <v>0</v>
      </c>
      <c r="G38" s="2922"/>
      <c r="H38" s="2921">
        <f>IF(bern,,IF(Justificatif!I58="",0,Justificatif!I58))</f>
        <v>0</v>
      </c>
      <c r="I38" s="2922"/>
      <c r="J38" s="1094"/>
      <c r="K38" s="1437" t="str">
        <f>IF(AND(F38&gt;0,H38=0),Uebersetzung!D26,IF(ROUND(F38,1)&gt;=ROUND(H38,1),IF(EBF&gt;0,Uebersetzung!D25,Uebersetzung!D26),Uebersetzung!D26))</f>
        <v>non</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Valeur limite Minergie pour l'éclairage en kWh/m²</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45" t="str">
        <f>MINERGIE!B119</f>
        <v>Taille min. de l'installation d’autoproduction d’électricité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non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Protection thermique estivale dans le label Minergie</v>
      </c>
      <c r="C41" s="1400"/>
      <c r="D41" s="1400"/>
      <c r="E41" s="1401"/>
      <c r="F41" s="1426"/>
      <c r="G41" s="1427"/>
      <c r="H41" s="1426"/>
      <c r="I41" s="1427"/>
      <c r="J41" s="200"/>
      <c r="K41" s="1439" t="str">
        <f>IF(Eté!S52,Uebersetzung!D25,Uebersetzung!D26)</f>
        <v>non</v>
      </c>
      <c r="L41" s="1440">
        <f>IF(K41=MINERGIE!$N$12,1,IF(K41=MINERGIE!$N$13,2,0))</f>
        <v>2</v>
      </c>
      <c r="M41" s="1482"/>
      <c r="N41" s="1300"/>
      <c r="O41" s="1300"/>
      <c r="P41" s="1506" t="str">
        <f>M43</f>
        <v>Chauffage</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Part d'énergies fossiles</v>
      </c>
      <c r="C42" s="1409"/>
      <c r="D42" s="1409"/>
      <c r="E42" s="1410" t="s">
        <v>2484</v>
      </c>
      <c r="F42" s="2943">
        <f>IF(AND(MINERGIE!AH37&gt;0,H42&gt;0),MINERGIE!AH25,)</f>
        <v>0</v>
      </c>
      <c r="G42" s="2944"/>
      <c r="H42" s="2943">
        <f>IF(MINERGIE!AH14&gt;0,MINERGIE!AH38,)</f>
        <v>0</v>
      </c>
      <c r="I42" s="2944"/>
      <c r="J42" s="1409"/>
      <c r="K42" s="1438" t="str">
        <f>IF(Justificatif!P63=FALSE,Uebersetzung!D26,IF(ROUND(H42,3)&lt;=ROUND(F42,3),Uebersetzung!D25,Uebersetzung!D26))</f>
        <v>non</v>
      </c>
      <c r="L42" s="1440">
        <f>IF(K42=MINERGIE!$N$12,1,IF(K42=MINERGIE!$N$13,2,0))</f>
        <v>2</v>
      </c>
      <c r="M42" s="1482" t="str">
        <f>Uebersetzung!D446</f>
        <v>Besoins</v>
      </c>
      <c r="N42" s="1300"/>
      <c r="O42" s="1300"/>
      <c r="P42" s="1506" t="str">
        <f>M49</f>
        <v>Eau chaude</v>
      </c>
      <c r="Q42" s="1301" t="e">
        <f>(MINERGIE!Z46)*(1/(R43+R42+R41)*R42)*N39</f>
        <v>#DIV/0!</v>
      </c>
      <c r="R42" s="1301">
        <f>N49</f>
        <v>0</v>
      </c>
      <c r="S42" s="1300">
        <v>0</v>
      </c>
      <c r="T42" s="1300"/>
      <c r="U42" s="804"/>
      <c r="V42" s="804"/>
      <c r="W42" s="804"/>
      <c r="X42" s="804"/>
    </row>
    <row r="43" spans="1:24" s="5" customFormat="1" ht="23.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1514">
        <f>IF(minergiea,IF(AND(F43&gt;0,H43&gt;0),IF(ROUND(F43,1)&lt;=ROUND(H43,1),Uebersetzung!D25,Uebersetzung!D26),),)</f>
        <v>0</v>
      </c>
      <c r="L43" s="1440">
        <f>IF(K43=MINERGIE!$N$12,1,IF(K43=MINERGIE!$N$13,2,0))</f>
        <v>0</v>
      </c>
      <c r="M43" s="1300" t="str">
        <f>Uebersetzung!D436</f>
        <v>Chauffage</v>
      </c>
      <c r="N43" s="1301">
        <f>MINERGIE!S103</f>
        <v>0</v>
      </c>
      <c r="O43" s="1300" t="s">
        <v>524</v>
      </c>
      <c r="P43" s="1506" t="str">
        <f>M50</f>
        <v>ventilation et climatisation</v>
      </c>
      <c r="Q43" s="1301" t="e">
        <f>(MINERGIE!Z46)*(1/(R43+R42+R41)*R43)*N39</f>
        <v>#DIV/0!</v>
      </c>
      <c r="R43" s="1301">
        <f>N50</f>
        <v>0</v>
      </c>
      <c r="S43" s="1300">
        <v>0</v>
      </c>
      <c r="T43" s="1300"/>
      <c r="U43" s="804"/>
      <c r="V43" s="804"/>
      <c r="W43" s="804"/>
      <c r="X43" s="804"/>
    </row>
    <row r="44" spans="1:24" s="5" customFormat="1" ht="23.1" customHeight="1">
      <c r="A44" s="1518"/>
      <c r="B44" s="2325" t="str">
        <f>Uebersetzung!D700</f>
        <v>Autres indicateurs</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Emission de GES pendant l'exploitatio en CO2/m2 (Scope 1)</v>
      </c>
      <c r="C45" s="2376"/>
      <c r="D45" s="2376"/>
      <c r="E45" s="2376"/>
      <c r="F45" s="2915" t="str">
        <f>Uebersetzung!D462</f>
        <v>Pas d’exigence</v>
      </c>
      <c r="G45" s="2916"/>
      <c r="H45" s="2915" t="str">
        <f>IF(Justificatif!AL45=0,"0",Justificatif!AL45)</f>
        <v>0</v>
      </c>
      <c r="I45" s="2916"/>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Gaz à effet de serre GES en kg CO2/m2  (Construction)</v>
      </c>
      <c r="C46" s="2388"/>
      <c r="D46" s="2388"/>
      <c r="E46" s="2388"/>
      <c r="F46" s="2917" t="str">
        <f>Uebersetzung!D462</f>
        <v>Pas d’exigence</v>
      </c>
      <c r="G46" s="2918"/>
      <c r="H46" s="2917">
        <f>Construction!H34</f>
        <v>0</v>
      </c>
      <c r="I46" s="2918"/>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Carbone stocké en kg  (Construction)</v>
      </c>
      <c r="C47" s="2390"/>
      <c r="D47" s="2390"/>
      <c r="E47" s="2390"/>
      <c r="F47" s="2919" t="str">
        <f>Uebersetzung!D462</f>
        <v>Pas d’exigence</v>
      </c>
      <c r="G47" s="2920"/>
      <c r="H47" s="2919">
        <f>Construction!H36</f>
        <v>0</v>
      </c>
      <c r="I47" s="2920"/>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Visualisation de l'indice Minergie</v>
      </c>
      <c r="C49" s="2372"/>
      <c r="D49" s="1006"/>
      <c r="E49" s="1006"/>
      <c r="F49" s="1006"/>
      <c r="G49" s="1006"/>
      <c r="H49" s="1006"/>
      <c r="I49" s="1006"/>
      <c r="J49" s="1006"/>
      <c r="K49" s="2373" t="s">
        <v>2436</v>
      </c>
      <c r="L49" s="804"/>
      <c r="M49" s="1300" t="str">
        <f>Uebersetzung!D437</f>
        <v>Eau chaude</v>
      </c>
      <c r="N49" s="1301">
        <f>MINERGIE!S18</f>
        <v>0</v>
      </c>
      <c r="O49" s="1300" t="s">
        <v>524</v>
      </c>
      <c r="P49" s="1506" t="str">
        <f>M51</f>
        <v>Electricité d'habitation</v>
      </c>
      <c r="Q49" s="1301">
        <f>MINERGIE!Z47</f>
        <v>0</v>
      </c>
      <c r="R49" s="1301">
        <f t="shared" si="0"/>
        <v>0</v>
      </c>
      <c r="S49" s="1300">
        <v>0</v>
      </c>
      <c r="T49" s="1300"/>
      <c r="U49" s="804"/>
      <c r="V49" s="804"/>
      <c r="W49" s="804"/>
      <c r="X49" s="804"/>
    </row>
    <row r="50" spans="1:24" s="5" customFormat="1" ht="19.899999999999999" customHeight="1">
      <c r="A50" s="1518"/>
      <c r="B50" s="2941" t="str">
        <f>M72&amp;"    "</f>
        <v xml:space="preserve">                                  E HWLK,li +
                        Besoins standard électricité
      </v>
      </c>
      <c r="C50" s="2942"/>
      <c r="D50" s="2942"/>
      <c r="E50" s="2942" t="str">
        <f>"             
 "&amp;M70</f>
        <v xml:space="preserve">             
        Valeur de l'objet
 </v>
      </c>
      <c r="F50" s="2942"/>
      <c r="G50" s="2942"/>
      <c r="H50" s="2872" t="str">
        <f>M68</f>
        <v xml:space="preserve">   Production PV</v>
      </c>
      <c r="I50" s="2872"/>
      <c r="J50" s="143"/>
      <c r="K50" s="1398" t="str">
        <f>Uebersetzung!D479&amp;" "&amp;Uebersetzung!D480</f>
        <v>MKZ H</v>
      </c>
      <c r="L50" s="804"/>
      <c r="M50" s="1300" t="str">
        <f>Uebersetzung!D470</f>
        <v>ventilation et climatisation</v>
      </c>
      <c r="N50" s="1504">
        <f>MINERGIE!S104</f>
        <v>0</v>
      </c>
      <c r="O50" s="1300" t="s">
        <v>524</v>
      </c>
      <c r="P50" s="1509" t="str">
        <f>M52</f>
        <v>Eclairage</v>
      </c>
      <c r="Q50" s="1301">
        <f>MINERGIE!Z48</f>
        <v>0</v>
      </c>
      <c r="R50" s="1301">
        <f t="shared" si="0"/>
        <v>0</v>
      </c>
      <c r="S50" s="1300">
        <v>0</v>
      </c>
      <c r="T50" s="1300"/>
      <c r="U50" s="804"/>
      <c r="V50" s="804"/>
      <c r="W50" s="804"/>
      <c r="X50" s="804"/>
    </row>
    <row r="51" spans="1:24" s="5" customFormat="1" ht="24" customHeight="1">
      <c r="A51" s="1518" t="s">
        <v>4763</v>
      </c>
      <c r="B51" s="2941"/>
      <c r="C51" s="2942"/>
      <c r="D51" s="2942"/>
      <c r="E51" s="2942"/>
      <c r="F51" s="2942"/>
      <c r="G51" s="2942"/>
      <c r="H51" s="2872"/>
      <c r="I51" s="2872"/>
      <c r="J51" s="143"/>
      <c r="K51" s="1399">
        <f>N43</f>
        <v>0</v>
      </c>
      <c r="L51" s="804"/>
      <c r="M51" s="1300" t="str">
        <f>Uebersetzung!D443</f>
        <v>Electricité d'habitation</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41"/>
      <c r="C52" s="2942"/>
      <c r="D52" s="2942"/>
      <c r="E52" s="1546"/>
      <c r="F52" s="1546"/>
      <c r="G52" s="1546"/>
      <c r="H52" s="1515"/>
      <c r="I52" s="1515"/>
      <c r="J52" s="143"/>
      <c r="K52" s="1398" t="str">
        <f>Uebersetzung!D479&amp;" "&amp;Uebersetzung!D481</f>
        <v>MKZ ww</v>
      </c>
      <c r="L52" s="804"/>
      <c r="M52" s="1300" t="str">
        <f>Uebersetzung!D438</f>
        <v>Eclairage</v>
      </c>
      <c r="N52" s="1301">
        <f>MINERGIE!S56+MINERGIE!S94+MINERGIE!S100</f>
        <v>0</v>
      </c>
      <c r="O52" s="1300" t="s">
        <v>524</v>
      </c>
      <c r="P52" s="1300" t="str">
        <f>M54</f>
        <v>Installations techn. du bâtiment</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Appareils</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Installations techn. du bâtiment</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Besoins d'énergie finale</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Indice Minergie calculé</v>
      </c>
      <c r="N57" s="1301">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autoconsommation</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PV part injectée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non pris en compte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Potentiel d'optimisation</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Indice Minergie calculé</v>
      </c>
      <c r="N65" s="1296">
        <f>H30</f>
        <v>0</v>
      </c>
      <c r="O65" s="1300" t="s">
        <v>524</v>
      </c>
      <c r="P65" s="1300"/>
      <c r="Q65" s="804"/>
      <c r="R65" s="804"/>
      <c r="S65" s="1301">
        <f>N65</f>
        <v>0</v>
      </c>
      <c r="T65" s="1301">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Indice Minergie max.</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Besoins</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MKZ = 0</v>
      </c>
      <c r="L68" s="804"/>
      <c r="M68" s="1300" t="str">
        <f>Uebersetzung!D471</f>
        <v xml:space="preserve">   Production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45804.647175925929</v>
      </c>
      <c r="C70" s="5"/>
      <c r="D70" s="5"/>
      <c r="E70" s="5"/>
      <c r="F70" s="5"/>
      <c r="G70" s="5"/>
      <c r="H70" s="5"/>
      <c r="I70" s="5"/>
      <c r="J70" s="5"/>
      <c r="K70" s="779" t="str">
        <f>Entrées!K47</f>
        <v xml:space="preserve"> /  /  /  /  /  / </v>
      </c>
      <c r="L70" s="1297"/>
      <c r="M70" s="1300" t="str">
        <f>Uebersetzung!D472</f>
        <v xml:space="preserve">       Valeur de l'objet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Besoins standard électricité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Entrées!B1</f>
        <v>v2.95</v>
      </c>
      <c r="B3" s="947">
        <v>3</v>
      </c>
      <c r="C3" s="1328" t="s">
        <v>2092</v>
      </c>
    </row>
    <row r="4" spans="1:3">
      <c r="A4" s="948" t="str">
        <f>Uebersetzung!E4</f>
        <v>v2.95</v>
      </c>
      <c r="B4" s="947">
        <v>4</v>
      </c>
      <c r="C4" s="1328" t="s">
        <v>2089</v>
      </c>
    </row>
    <row r="5" spans="1:3">
      <c r="A5" s="948" t="b">
        <f>IF(A6&gt;1,IF(OR(A6=2,A6=5),"MINERGIE",IF(OR(A6=3,A6=6),"MINERGIE-P",IF(OR(A6=4,A6=7),"MINERGIE-A"))),Entrées!E14)</f>
        <v>0</v>
      </c>
      <c r="B5" s="947">
        <v>5</v>
      </c>
      <c r="C5" s="1328" t="s">
        <v>825</v>
      </c>
    </row>
    <row r="6" spans="1:3">
      <c r="A6" s="948">
        <f>Standardwerte!AK63</f>
        <v>8</v>
      </c>
      <c r="B6" s="947">
        <v>6</v>
      </c>
      <c r="C6" s="1328" t="s">
        <v>1941</v>
      </c>
    </row>
    <row r="7" spans="1:3">
      <c r="A7" s="948" t="str">
        <f>Uebersetzung!C1</f>
        <v>französisch</v>
      </c>
      <c r="B7" s="947">
        <v>7</v>
      </c>
      <c r="C7" s="1328" t="s">
        <v>1082</v>
      </c>
    </row>
    <row r="8" spans="1:3">
      <c r="A8" s="948">
        <f>Uebersetzung!A1</f>
        <v>2</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Entrées!J8</f>
        <v>0</v>
      </c>
      <c r="B12" s="947">
        <v>12</v>
      </c>
      <c r="C12" s="1328" t="s">
        <v>1944</v>
      </c>
    </row>
    <row r="13" spans="1:3">
      <c r="A13" s="948">
        <f>Projekt4</f>
        <v>0</v>
      </c>
      <c r="B13" s="947">
        <v>13</v>
      </c>
      <c r="C13" s="1328" t="s">
        <v>1945</v>
      </c>
    </row>
    <row r="14" spans="1:3">
      <c r="A14" s="948">
        <f>Hoehe</f>
        <v>0</v>
      </c>
      <c r="B14" s="947">
        <v>14</v>
      </c>
      <c r="C14" s="1328" t="s">
        <v>1081</v>
      </c>
    </row>
    <row r="15" spans="1:3">
      <c r="A15" s="948" t="str">
        <f>Entrées!I13</f>
        <v>Berne</v>
      </c>
      <c r="B15" s="947">
        <v>15</v>
      </c>
      <c r="C15" s="1328" t="s">
        <v>21</v>
      </c>
    </row>
    <row r="16" spans="1:3">
      <c r="A16" s="948">
        <f>Kanton</f>
        <v>5</v>
      </c>
      <c r="B16" s="947">
        <v>16</v>
      </c>
      <c r="C16" s="1328" t="s">
        <v>1978</v>
      </c>
    </row>
    <row r="17" spans="1:3">
      <c r="A17" s="948" t="str">
        <f>Entrées!I14</f>
        <v xml:space="preserve"> </v>
      </c>
      <c r="B17" s="947">
        <v>17</v>
      </c>
      <c r="C17" s="1328" t="s">
        <v>15</v>
      </c>
    </row>
    <row r="18" spans="1:3">
      <c r="A18" s="948">
        <f>Standardwerte!B51</f>
        <v>1</v>
      </c>
      <c r="B18" s="947">
        <v>18</v>
      </c>
      <c r="C18" s="1328" t="s">
        <v>1946</v>
      </c>
    </row>
    <row r="19" spans="1:3">
      <c r="A19" s="948">
        <f>Entrées!F16</f>
        <v>0</v>
      </c>
      <c r="B19" s="947">
        <v>19</v>
      </c>
      <c r="C19" s="1328" t="s">
        <v>1083</v>
      </c>
    </row>
    <row r="20" spans="1:3">
      <c r="A20" s="948">
        <f>Kategorie1-1</f>
        <v>0</v>
      </c>
      <c r="B20" s="947">
        <v>20</v>
      </c>
      <c r="C20" s="1328" t="s">
        <v>2095</v>
      </c>
    </row>
    <row r="21" spans="1:3">
      <c r="A21" s="948">
        <f>Entrées!G16</f>
        <v>0</v>
      </c>
      <c r="B21" s="947">
        <v>21</v>
      </c>
      <c r="C21" s="1328" t="s">
        <v>1086</v>
      </c>
    </row>
    <row r="22" spans="1:3">
      <c r="A22" s="948">
        <f>Kategorie2-1</f>
        <v>0</v>
      </c>
      <c r="B22" s="947">
        <v>22</v>
      </c>
      <c r="C22" s="1328" t="s">
        <v>2097</v>
      </c>
    </row>
    <row r="23" spans="1:3">
      <c r="A23" s="948">
        <f>Entrées!H16</f>
        <v>0</v>
      </c>
      <c r="B23" s="947">
        <v>23</v>
      </c>
      <c r="C23" s="1328" t="s">
        <v>1085</v>
      </c>
    </row>
    <row r="24" spans="1:3">
      <c r="A24" s="948">
        <f>Kategorie3-1</f>
        <v>0</v>
      </c>
      <c r="B24" s="947">
        <v>24</v>
      </c>
      <c r="C24" s="1328" t="s">
        <v>2098</v>
      </c>
    </row>
    <row r="25" spans="1:3">
      <c r="A25" s="948">
        <f>Entrées!I16</f>
        <v>0</v>
      </c>
      <c r="B25" s="947">
        <v>25</v>
      </c>
      <c r="C25" s="1328" t="s">
        <v>1084</v>
      </c>
    </row>
    <row r="26" spans="1:3">
      <c r="A26" s="948">
        <f>Kategorie4-1</f>
        <v>0</v>
      </c>
      <c r="B26" s="947">
        <v>26</v>
      </c>
      <c r="C26" s="1328" t="s">
        <v>2096</v>
      </c>
    </row>
    <row r="27" spans="1:3">
      <c r="A27" s="948">
        <f>Entrées!F17</f>
        <v>0</v>
      </c>
      <c r="B27" s="947">
        <v>27</v>
      </c>
      <c r="C27" s="1328" t="s">
        <v>1087</v>
      </c>
    </row>
    <row r="28" spans="1:3">
      <c r="A28" s="948">
        <f>IF(A27=Uebersetzung!$D$25,1,IF(A27=Uebersetzung!$D$26,2,0))</f>
        <v>0</v>
      </c>
      <c r="B28" s="947">
        <v>28</v>
      </c>
      <c r="C28" s="1328" t="s">
        <v>2099</v>
      </c>
    </row>
    <row r="29" spans="1:3">
      <c r="A29" s="948">
        <f>Entrées!G17</f>
        <v>0</v>
      </c>
      <c r="B29" s="947">
        <v>29</v>
      </c>
      <c r="C29" s="1328" t="s">
        <v>1088</v>
      </c>
    </row>
    <row r="30" spans="1:3">
      <c r="A30" s="948">
        <f>IF(A29=Uebersetzung!$D$25,1,IF(A29=Uebersetzung!$D$26,2,0))</f>
        <v>0</v>
      </c>
      <c r="B30" s="947">
        <v>30</v>
      </c>
      <c r="C30" s="1328" t="s">
        <v>2102</v>
      </c>
    </row>
    <row r="31" spans="1:3">
      <c r="A31" s="948">
        <f>Entrées!H17</f>
        <v>0</v>
      </c>
      <c r="B31" s="947">
        <v>31</v>
      </c>
      <c r="C31" s="1328" t="s">
        <v>1089</v>
      </c>
    </row>
    <row r="32" spans="1:3">
      <c r="A32" s="948">
        <f>IF(A31=Uebersetzung!$D$25,1,IF(A31=Uebersetzung!$D$26,2,0))</f>
        <v>0</v>
      </c>
      <c r="B32" s="947">
        <v>32</v>
      </c>
      <c r="C32" s="1328" t="s">
        <v>2101</v>
      </c>
    </row>
    <row r="33" spans="1:3">
      <c r="A33" s="948">
        <f>Entrées!I17</f>
        <v>0</v>
      </c>
      <c r="B33" s="947">
        <v>33</v>
      </c>
      <c r="C33" s="1328" t="s">
        <v>1090</v>
      </c>
    </row>
    <row r="34" spans="1:3">
      <c r="A34" s="948">
        <f>IF(A33=Uebersetzung!$D$25,1,IF(A33=Uebersetzung!$D$26,2,0))</f>
        <v>0</v>
      </c>
      <c r="B34" s="947">
        <v>34</v>
      </c>
      <c r="C34" s="1328" t="s">
        <v>2100</v>
      </c>
    </row>
    <row r="35" spans="1:3">
      <c r="A35" s="948">
        <f>Entrées!O2</f>
        <v>0</v>
      </c>
      <c r="B35" s="947">
        <v>35</v>
      </c>
      <c r="C35" s="1328" t="s">
        <v>1091</v>
      </c>
    </row>
    <row r="36" spans="1:3">
      <c r="A36" s="948">
        <f>Entrées!P2</f>
        <v>0</v>
      </c>
      <c r="B36" s="947">
        <v>36</v>
      </c>
      <c r="C36" s="1328" t="s">
        <v>1092</v>
      </c>
    </row>
    <row r="37" spans="1:3">
      <c r="A37" s="948">
        <f>Entrées!Q2</f>
        <v>0</v>
      </c>
      <c r="B37" s="947">
        <v>37</v>
      </c>
      <c r="C37" s="1328" t="s">
        <v>1093</v>
      </c>
    </row>
    <row r="38" spans="1:3">
      <c r="A38" s="948">
        <f>Entrées!R2</f>
        <v>0</v>
      </c>
      <c r="B38" s="947">
        <v>38</v>
      </c>
      <c r="C38" s="1328" t="s">
        <v>1094</v>
      </c>
    </row>
    <row r="39" spans="1:3">
      <c r="A39" s="948">
        <f>Entrées!F21</f>
        <v>0</v>
      </c>
      <c r="B39" s="947">
        <v>39</v>
      </c>
      <c r="C39" s="1328" t="s">
        <v>1095</v>
      </c>
    </row>
    <row r="40" spans="1:3">
      <c r="A40" s="948">
        <f>Neubau1-1</f>
        <v>0</v>
      </c>
      <c r="B40" s="947">
        <v>40</v>
      </c>
      <c r="C40" s="1328" t="s">
        <v>2103</v>
      </c>
    </row>
    <row r="41" spans="1:3">
      <c r="A41" s="948">
        <f>Entrées!G21</f>
        <v>0</v>
      </c>
      <c r="B41" s="947">
        <v>41</v>
      </c>
      <c r="C41" s="1328" t="s">
        <v>1098</v>
      </c>
    </row>
    <row r="42" spans="1:3">
      <c r="A42" s="948">
        <f>Neubau2-1</f>
        <v>0</v>
      </c>
      <c r="B42" s="947">
        <v>42</v>
      </c>
      <c r="C42" s="1328" t="s">
        <v>2105</v>
      </c>
    </row>
    <row r="43" spans="1:3">
      <c r="A43" s="948">
        <f>Entrées!H21</f>
        <v>0</v>
      </c>
      <c r="B43" s="947">
        <v>43</v>
      </c>
      <c r="C43" s="1328" t="s">
        <v>1097</v>
      </c>
    </row>
    <row r="44" spans="1:3">
      <c r="A44" s="948">
        <f>Neubau3-1</f>
        <v>0</v>
      </c>
      <c r="B44" s="947">
        <v>44</v>
      </c>
      <c r="C44" s="1328" t="s">
        <v>2106</v>
      </c>
    </row>
    <row r="45" spans="1:3">
      <c r="A45" s="948">
        <f>Entrées!I21</f>
        <v>0</v>
      </c>
      <c r="B45" s="947">
        <v>45</v>
      </c>
      <c r="C45" s="1328" t="s">
        <v>1096</v>
      </c>
    </row>
    <row r="46" spans="1:3">
      <c r="A46" s="948">
        <f>Neubau4-1</f>
        <v>0</v>
      </c>
      <c r="B46" s="947">
        <v>46</v>
      </c>
      <c r="C46" s="1328" t="s">
        <v>2104</v>
      </c>
    </row>
    <row r="47" spans="1:3">
      <c r="A47" s="948">
        <f>Entrées!F30</f>
        <v>0</v>
      </c>
      <c r="B47" s="947">
        <v>47</v>
      </c>
      <c r="C47" s="1328" t="s">
        <v>3898</v>
      </c>
    </row>
    <row r="48" spans="1:3">
      <c r="A48" s="948">
        <f>IF(A47=Uebersetzung!$D$25,1,IF(A47=Uebersetzung!$D$26,2,0))</f>
        <v>0</v>
      </c>
      <c r="B48" s="947">
        <v>48</v>
      </c>
      <c r="C48" s="1328" t="s">
        <v>3902</v>
      </c>
    </row>
    <row r="49" spans="1:3">
      <c r="A49" s="948">
        <f>Entrées!G30</f>
        <v>0</v>
      </c>
      <c r="B49" s="947">
        <v>49</v>
      </c>
      <c r="C49" s="1328" t="s">
        <v>3901</v>
      </c>
    </row>
    <row r="50" spans="1:3">
      <c r="A50" s="948">
        <f>IF(A49=Uebersetzung!$D$25,1,IF(A49=Uebersetzung!$D$26,2,0))</f>
        <v>0</v>
      </c>
      <c r="B50" s="947">
        <v>50</v>
      </c>
      <c r="C50" s="1328" t="s">
        <v>3903</v>
      </c>
    </row>
    <row r="51" spans="1:3">
      <c r="A51" s="948">
        <f>Entrées!H30</f>
        <v>0</v>
      </c>
      <c r="B51" s="947">
        <v>51</v>
      </c>
      <c r="C51" s="1328" t="s">
        <v>3900</v>
      </c>
    </row>
    <row r="52" spans="1:3">
      <c r="A52" s="948">
        <f>IF(A51=Uebersetzung!$D$25,1,IF(A51=Uebersetzung!$D$26,2,0))</f>
        <v>0</v>
      </c>
      <c r="B52" s="947">
        <v>52</v>
      </c>
      <c r="C52" s="1328" t="s">
        <v>3904</v>
      </c>
    </row>
    <row r="53" spans="1:3">
      <c r="A53" s="948">
        <f>Entrées!I30</f>
        <v>0</v>
      </c>
      <c r="B53" s="947">
        <v>53</v>
      </c>
      <c r="C53" s="1328" t="s">
        <v>3899</v>
      </c>
    </row>
    <row r="54" spans="1:3">
      <c r="A54" s="948">
        <f>IF(A53=Uebersetzung!$D$25,1,IF(A53=Uebersetzung!$D$26,2,0))</f>
        <v>0</v>
      </c>
      <c r="B54" s="947">
        <v>54</v>
      </c>
      <c r="C54" s="1328" t="s">
        <v>3905</v>
      </c>
    </row>
    <row r="55" spans="1:3">
      <c r="A55" s="948">
        <f>Entrées!F31</f>
        <v>0</v>
      </c>
      <c r="B55" s="947">
        <v>55</v>
      </c>
      <c r="C55" s="1328" t="s">
        <v>3906</v>
      </c>
    </row>
    <row r="56" spans="1:3">
      <c r="A56" s="948">
        <f>IF(A55=0,1,VLOOKUP(A55,Standardwerte!$O$35:$T$45,6,FALSE))-1</f>
        <v>0</v>
      </c>
      <c r="B56" s="947">
        <v>56</v>
      </c>
      <c r="C56" s="1328" t="s">
        <v>3910</v>
      </c>
    </row>
    <row r="57" spans="1:3">
      <c r="A57" s="948">
        <f>Entrées!G31</f>
        <v>0</v>
      </c>
      <c r="B57" s="947">
        <v>57</v>
      </c>
      <c r="C57" s="1328" t="s">
        <v>3907</v>
      </c>
    </row>
    <row r="58" spans="1:3">
      <c r="A58" s="948">
        <f>IF(A57=0,1,VLOOKUP(A57,Standardwerte!$O$35:$T$45,6,FALSE))-1</f>
        <v>0</v>
      </c>
      <c r="B58" s="947">
        <v>58</v>
      </c>
      <c r="C58" s="1328" t="s">
        <v>3911</v>
      </c>
    </row>
    <row r="59" spans="1:3">
      <c r="A59" s="948">
        <f>Entrées!H31</f>
        <v>0</v>
      </c>
      <c r="B59" s="947">
        <v>59</v>
      </c>
      <c r="C59" s="1328" t="s">
        <v>3908</v>
      </c>
    </row>
    <row r="60" spans="1:3">
      <c r="A60" s="948">
        <f>IF(A59=0,1,VLOOKUP(A59,Standardwerte!$O$35:$T$45,6,FALSE))-1</f>
        <v>0</v>
      </c>
      <c r="B60" s="947">
        <v>60</v>
      </c>
      <c r="C60" s="1328" t="s">
        <v>3912</v>
      </c>
    </row>
    <row r="61" spans="1:3">
      <c r="A61" s="948">
        <f>Entrées!I31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Entrées!F34</f>
        <v>0</v>
      </c>
      <c r="B67" s="947">
        <v>67</v>
      </c>
      <c r="C67" s="1328" t="s">
        <v>1955</v>
      </c>
    </row>
    <row r="68" spans="1:3">
      <c r="A68" s="948">
        <f>IF(A67=0,1,VLOOKUP(A67,Standardwerte!$L$54:$O$59,4,FALSE))-1</f>
        <v>0</v>
      </c>
      <c r="B68" s="947">
        <v>68</v>
      </c>
      <c r="C68" s="1328" t="s">
        <v>2107</v>
      </c>
    </row>
    <row r="69" spans="1:3">
      <c r="A69" s="948">
        <f>Entrées!G34</f>
        <v>0</v>
      </c>
      <c r="B69" s="947">
        <v>69</v>
      </c>
      <c r="C69" s="1328" t="s">
        <v>1956</v>
      </c>
    </row>
    <row r="70" spans="1:3">
      <c r="A70" s="948">
        <f>IF(A69=0,1,VLOOKUP(A69,Standardwerte!$L$54:$O$59,4,FALSE))-1</f>
        <v>0</v>
      </c>
      <c r="B70" s="947">
        <v>70</v>
      </c>
      <c r="C70" s="1328" t="s">
        <v>2108</v>
      </c>
    </row>
    <row r="71" spans="1:3">
      <c r="A71" s="948">
        <f>Entrées!H34</f>
        <v>0</v>
      </c>
      <c r="B71" s="947">
        <v>71</v>
      </c>
      <c r="C71" s="1328" t="s">
        <v>1957</v>
      </c>
    </row>
    <row r="72" spans="1:3">
      <c r="A72" s="948">
        <f>IF(A71=0,1,VLOOKUP(A71,Standardwerte!$L$54:$O$59,4,FALSE))-1</f>
        <v>0</v>
      </c>
      <c r="B72" s="947">
        <v>72</v>
      </c>
      <c r="C72" s="1328" t="s">
        <v>2109</v>
      </c>
    </row>
    <row r="73" spans="1:3">
      <c r="A73" s="948">
        <f>Entrées!I34</f>
        <v>0</v>
      </c>
      <c r="B73" s="947">
        <v>73</v>
      </c>
      <c r="C73" s="1328" t="s">
        <v>1958</v>
      </c>
    </row>
    <row r="74" spans="1:3">
      <c r="A74" s="948">
        <f>IF(A73=0,1,VLOOKUP(A73,Standardwerte!$L$54:$O$59,4,FALSE))-1</f>
        <v>0</v>
      </c>
      <c r="B74" s="947">
        <v>74</v>
      </c>
      <c r="C74" s="1328" t="s">
        <v>2110</v>
      </c>
    </row>
    <row r="75" spans="1:3">
      <c r="A75" s="948">
        <f>Entrées!F35</f>
        <v>0</v>
      </c>
      <c r="B75" s="947">
        <v>75</v>
      </c>
      <c r="C75" s="1328" t="s">
        <v>1959</v>
      </c>
    </row>
    <row r="76" spans="1:3">
      <c r="A76" s="948">
        <f>IF(A75=0,1,VLOOKUP(A75,Standardwerte!$AB$46:$AD$48,3,FALSE))-1</f>
        <v>0</v>
      </c>
      <c r="B76" s="947">
        <v>76</v>
      </c>
      <c r="C76" s="1328" t="s">
        <v>2112</v>
      </c>
    </row>
    <row r="77" spans="1:3">
      <c r="A77" s="948">
        <f>Entrées!G35</f>
        <v>0</v>
      </c>
      <c r="B77" s="947">
        <v>77</v>
      </c>
      <c r="C77" s="1328" t="s">
        <v>1961</v>
      </c>
    </row>
    <row r="78" spans="1:3">
      <c r="A78" s="948">
        <f>IF(A77=0,1,VLOOKUP(A77,Standardwerte!$AB$46:$AD$48,3,FALSE))-1</f>
        <v>0</v>
      </c>
      <c r="B78" s="947">
        <v>78</v>
      </c>
      <c r="C78" s="1328" t="s">
        <v>2113</v>
      </c>
    </row>
    <row r="79" spans="1:3">
      <c r="A79" s="948">
        <f>Entrées!H35</f>
        <v>0</v>
      </c>
      <c r="B79" s="947">
        <v>79</v>
      </c>
      <c r="C79" s="1328" t="s">
        <v>1962</v>
      </c>
    </row>
    <row r="80" spans="1:3">
      <c r="A80" s="948">
        <f>IF(A79=0,1,VLOOKUP(A79,Standardwerte!$AB$46:$AD$48,3,FALSE))-1</f>
        <v>0</v>
      </c>
      <c r="B80" s="947">
        <v>80</v>
      </c>
      <c r="C80" s="1328" t="s">
        <v>2114</v>
      </c>
    </row>
    <row r="81" spans="1:3">
      <c r="A81" s="948">
        <f>Entrées!I35</f>
        <v>0</v>
      </c>
      <c r="B81" s="947">
        <v>81</v>
      </c>
      <c r="C81" s="1328" t="s">
        <v>1960</v>
      </c>
    </row>
    <row r="82" spans="1:3">
      <c r="A82" s="948">
        <f>IF(A81=0,1,VLOOKUP(A81,Standardwerte!$AB$46:$AD$48,3,FALSE))-1</f>
        <v>0</v>
      </c>
      <c r="B82" s="947">
        <v>82</v>
      </c>
      <c r="C82" s="1328" t="s">
        <v>2111</v>
      </c>
    </row>
    <row r="83" spans="1:3">
      <c r="A83" s="948">
        <f>Entrées!F39</f>
        <v>0</v>
      </c>
      <c r="B83" s="947">
        <v>83</v>
      </c>
      <c r="C83" s="1328" t="s">
        <v>1103</v>
      </c>
    </row>
    <row r="84" spans="1:3">
      <c r="A84" s="948">
        <f>Standardwerte!J118-1</f>
        <v>0</v>
      </c>
      <c r="B84" s="947">
        <v>84</v>
      </c>
      <c r="C84" s="1328" t="s">
        <v>2116</v>
      </c>
    </row>
    <row r="85" spans="1:3">
      <c r="A85" s="948">
        <f>Entrées!G39</f>
        <v>0</v>
      </c>
      <c r="B85" s="947">
        <v>85</v>
      </c>
      <c r="C85" s="1328" t="s">
        <v>1106</v>
      </c>
    </row>
    <row r="86" spans="1:3">
      <c r="A86" s="948">
        <f>Standardwerte!K118-1</f>
        <v>0</v>
      </c>
      <c r="B86" s="947">
        <v>86</v>
      </c>
      <c r="C86" s="1328" t="s">
        <v>2117</v>
      </c>
    </row>
    <row r="87" spans="1:3">
      <c r="A87" s="948">
        <f>Entrées!H39</f>
        <v>0</v>
      </c>
      <c r="B87" s="947">
        <v>87</v>
      </c>
      <c r="C87" s="1328" t="s">
        <v>1105</v>
      </c>
    </row>
    <row r="88" spans="1:3">
      <c r="A88" s="948">
        <f>Standardwerte!L118-1</f>
        <v>0</v>
      </c>
      <c r="B88" s="947">
        <v>88</v>
      </c>
      <c r="C88" s="1328" t="s">
        <v>2118</v>
      </c>
    </row>
    <row r="89" spans="1:3">
      <c r="A89" s="948">
        <f>Entrées!I39</f>
        <v>0</v>
      </c>
      <c r="B89" s="947">
        <v>89</v>
      </c>
      <c r="C89" s="1328" t="s">
        <v>1104</v>
      </c>
    </row>
    <row r="90" spans="1:3">
      <c r="A90" s="948">
        <f>Standardwerte!M118-1</f>
        <v>0</v>
      </c>
      <c r="B90" s="947">
        <v>90</v>
      </c>
      <c r="C90" s="1328" t="s">
        <v>2115</v>
      </c>
    </row>
    <row r="91" spans="1:3">
      <c r="A91" s="949">
        <f>Entrées!F40</f>
        <v>0</v>
      </c>
      <c r="B91" s="947">
        <v>91</v>
      </c>
      <c r="C91" s="1328" t="s">
        <v>1107</v>
      </c>
    </row>
    <row r="92" spans="1:3">
      <c r="A92" s="949">
        <f>Entrées!G40</f>
        <v>0</v>
      </c>
      <c r="B92" s="947">
        <v>92</v>
      </c>
      <c r="C92" s="1328" t="s">
        <v>1108</v>
      </c>
    </row>
    <row r="93" spans="1:3">
      <c r="A93" s="949">
        <f>Entrées!H40</f>
        <v>0</v>
      </c>
      <c r="B93" s="947">
        <v>93</v>
      </c>
      <c r="C93" s="1328" t="s">
        <v>1109</v>
      </c>
    </row>
    <row r="94" spans="1:3">
      <c r="A94" s="949">
        <f>Entrées!I40</f>
        <v>0</v>
      </c>
      <c r="B94" s="947">
        <v>94</v>
      </c>
      <c r="C94" s="1328" t="s">
        <v>1110</v>
      </c>
    </row>
    <row r="95" spans="1:3">
      <c r="A95" s="949">
        <f>Entrées!F41</f>
        <v>0</v>
      </c>
      <c r="B95" s="947">
        <v>95</v>
      </c>
      <c r="C95" s="1328" t="s">
        <v>1111</v>
      </c>
    </row>
    <row r="96" spans="1:3">
      <c r="A96" s="949">
        <f>Entrées!G41</f>
        <v>0</v>
      </c>
      <c r="B96" s="947">
        <v>96</v>
      </c>
      <c r="C96" s="1328" t="s">
        <v>1112</v>
      </c>
    </row>
    <row r="97" spans="1:3">
      <c r="A97" s="949">
        <f>Entrées!H41</f>
        <v>0</v>
      </c>
      <c r="B97" s="947">
        <v>97</v>
      </c>
      <c r="C97" s="1328" t="s">
        <v>1113</v>
      </c>
    </row>
    <row r="98" spans="1:3">
      <c r="A98" s="949">
        <f>Entrées!I41</f>
        <v>0</v>
      </c>
      <c r="B98" s="947">
        <v>98</v>
      </c>
      <c r="C98" s="1328" t="s">
        <v>1114</v>
      </c>
    </row>
    <row r="99" spans="1:3">
      <c r="A99" s="949">
        <f>Entrées!F42</f>
        <v>0</v>
      </c>
      <c r="B99" s="947">
        <v>99</v>
      </c>
      <c r="C99" s="1328" t="s">
        <v>1117</v>
      </c>
    </row>
    <row r="100" spans="1:3">
      <c r="A100" s="949">
        <f>Entrées!G42</f>
        <v>0</v>
      </c>
      <c r="B100" s="947">
        <v>100</v>
      </c>
      <c r="C100" s="1328" t="s">
        <v>1118</v>
      </c>
    </row>
    <row r="101" spans="1:3">
      <c r="A101" s="949">
        <f>Entrées!H42</f>
        <v>0</v>
      </c>
      <c r="B101" s="947">
        <v>101</v>
      </c>
      <c r="C101" s="1328" t="s">
        <v>1119</v>
      </c>
    </row>
    <row r="102" spans="1:3">
      <c r="A102" s="949">
        <f>Entrées!I42</f>
        <v>0</v>
      </c>
      <c r="B102" s="947">
        <v>102</v>
      </c>
      <c r="C102" s="1328" t="s">
        <v>1120</v>
      </c>
    </row>
    <row r="103" spans="1:3">
      <c r="A103" s="949">
        <f>Entrées!F43</f>
        <v>0</v>
      </c>
      <c r="B103" s="947">
        <v>103</v>
      </c>
      <c r="C103" s="1328" t="s">
        <v>3894</v>
      </c>
    </row>
    <row r="104" spans="1:3">
      <c r="A104" s="949">
        <f>Entrées!G43</f>
        <v>0</v>
      </c>
      <c r="B104" s="947">
        <v>104</v>
      </c>
      <c r="C104" s="1328" t="s">
        <v>3895</v>
      </c>
    </row>
    <row r="105" spans="1:3">
      <c r="A105" s="949">
        <f>Entrées!H43</f>
        <v>0</v>
      </c>
      <c r="B105" s="947">
        <v>105</v>
      </c>
      <c r="C105" s="1328" t="s">
        <v>3896</v>
      </c>
    </row>
    <row r="106" spans="1:3">
      <c r="A106" s="949">
        <f>Entrées!I43</f>
        <v>0</v>
      </c>
      <c r="B106" s="947">
        <v>106</v>
      </c>
      <c r="C106" s="1328" t="s">
        <v>3897</v>
      </c>
    </row>
    <row r="107" spans="1:3">
      <c r="A107" s="948" t="str">
        <f>Entrées!E46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Justificatif!B8</f>
        <v>0</v>
      </c>
      <c r="B125" s="947">
        <v>125</v>
      </c>
      <c r="C125" s="939" t="s">
        <v>1122</v>
      </c>
    </row>
    <row r="126" spans="1:7">
      <c r="A126" s="948">
        <f>INDEX(Standardwerte!$AN$108:$AN$155,Justificatif!M8,1)</f>
        <v>0</v>
      </c>
      <c r="B126" s="947">
        <v>126</v>
      </c>
      <c r="C126" s="939" t="s">
        <v>3578</v>
      </c>
    </row>
    <row r="127" spans="1:7">
      <c r="A127" s="948">
        <f>Justificatif!B12</f>
        <v>0</v>
      </c>
      <c r="B127" s="947">
        <v>127</v>
      </c>
      <c r="C127" s="939" t="s">
        <v>1123</v>
      </c>
    </row>
    <row r="128" spans="1:7">
      <c r="A128" s="948">
        <f>INDEX(Standardwerte!$AN$108:$AN$155,Justificatif!M12,1)</f>
        <v>0</v>
      </c>
      <c r="B128" s="947">
        <v>128</v>
      </c>
      <c r="C128" s="1614" t="s">
        <v>3581</v>
      </c>
    </row>
    <row r="129" spans="1:3">
      <c r="A129" s="948">
        <f>Justificatif!B16</f>
        <v>0</v>
      </c>
      <c r="B129" s="947">
        <v>129</v>
      </c>
      <c r="C129" s="939" t="s">
        <v>1124</v>
      </c>
    </row>
    <row r="130" spans="1:3">
      <c r="A130" s="948">
        <f>INDEX(Standardwerte!$AN$108:$AN$155,Justificatif!M16,1)</f>
        <v>0</v>
      </c>
      <c r="B130" s="947">
        <v>130</v>
      </c>
      <c r="C130" s="1614" t="s">
        <v>3580</v>
      </c>
    </row>
    <row r="131" spans="1:3">
      <c r="A131" s="948">
        <f>Justificatif!B20</f>
        <v>0</v>
      </c>
      <c r="B131" s="947">
        <v>131</v>
      </c>
      <c r="C131" s="939" t="s">
        <v>1125</v>
      </c>
    </row>
    <row r="132" spans="1:3">
      <c r="A132" s="948">
        <f>INDEX(Standardwerte!$AN$108:$AN$155,Justificatif!M20,1)</f>
        <v>0</v>
      </c>
      <c r="B132" s="947">
        <v>132</v>
      </c>
      <c r="C132" s="1614" t="s">
        <v>3579</v>
      </c>
    </row>
    <row r="133" spans="1:3">
      <c r="A133" s="952">
        <f>Justificatif!H8</f>
        <v>0</v>
      </c>
      <c r="B133" s="947">
        <v>133</v>
      </c>
      <c r="C133" s="939" t="s">
        <v>1126</v>
      </c>
    </row>
    <row r="134" spans="1:3">
      <c r="A134" s="952">
        <f>Justificatif!H12</f>
        <v>0</v>
      </c>
      <c r="B134" s="947">
        <v>134</v>
      </c>
      <c r="C134" s="939" t="s">
        <v>1127</v>
      </c>
    </row>
    <row r="135" spans="1:3">
      <c r="A135" s="952">
        <f>Justificatif!H16</f>
        <v>0</v>
      </c>
      <c r="B135" s="947">
        <v>135</v>
      </c>
      <c r="C135" s="939" t="s">
        <v>1128</v>
      </c>
    </row>
    <row r="136" spans="1:3">
      <c r="A136" s="952">
        <f>Justificatif!H20</f>
        <v>0</v>
      </c>
      <c r="B136" s="947">
        <v>136</v>
      </c>
      <c r="C136" s="939" t="s">
        <v>1129</v>
      </c>
    </row>
    <row r="137" spans="1:3">
      <c r="A137" s="948">
        <f>Justificatif!J8</f>
        <v>0</v>
      </c>
      <c r="B137" s="947">
        <v>137</v>
      </c>
      <c r="C137" s="939" t="s">
        <v>1130</v>
      </c>
    </row>
    <row r="138" spans="1:3">
      <c r="A138" s="948">
        <f>Justificatif!L8</f>
        <v>0</v>
      </c>
      <c r="B138" s="947">
        <v>138</v>
      </c>
      <c r="C138" s="939" t="s">
        <v>1131</v>
      </c>
    </row>
    <row r="139" spans="1:3">
      <c r="A139" s="948">
        <f>Justificatif!J12</f>
        <v>0</v>
      </c>
      <c r="B139" s="947">
        <v>139</v>
      </c>
      <c r="C139" s="939" t="s">
        <v>1132</v>
      </c>
    </row>
    <row r="140" spans="1:3">
      <c r="A140" s="948">
        <f>Justificatif!L12</f>
        <v>0</v>
      </c>
      <c r="B140" s="947">
        <v>140</v>
      </c>
      <c r="C140" s="939" t="s">
        <v>1133</v>
      </c>
    </row>
    <row r="141" spans="1:3">
      <c r="A141" s="948">
        <f>Justificatif!J16</f>
        <v>0</v>
      </c>
      <c r="B141" s="947">
        <v>141</v>
      </c>
      <c r="C141" s="939" t="s">
        <v>1134</v>
      </c>
    </row>
    <row r="142" spans="1:3">
      <c r="A142" s="948">
        <f>Justificatif!L16</f>
        <v>0</v>
      </c>
      <c r="B142" s="947">
        <v>142</v>
      </c>
      <c r="C142" s="939" t="s">
        <v>1135</v>
      </c>
    </row>
    <row r="143" spans="1:3">
      <c r="A143" s="948">
        <f>Justificatif!J20</f>
        <v>0</v>
      </c>
      <c r="B143" s="947">
        <v>143</v>
      </c>
      <c r="C143" s="939" t="s">
        <v>1136</v>
      </c>
    </row>
    <row r="144" spans="1:3">
      <c r="A144" s="948">
        <f>Justificatif!L20</f>
        <v>0</v>
      </c>
      <c r="B144" s="947">
        <v>144</v>
      </c>
      <c r="C144" s="939" t="s">
        <v>1137</v>
      </c>
    </row>
    <row r="145" spans="1:3">
      <c r="A145" s="948">
        <f>Justificatif!G9</f>
        <v>0</v>
      </c>
      <c r="B145" s="947">
        <v>145</v>
      </c>
      <c r="C145" s="939" t="s">
        <v>1138</v>
      </c>
    </row>
    <row r="146" spans="1:3">
      <c r="A146" s="948">
        <f>Justificatif!G10</f>
        <v>0</v>
      </c>
      <c r="B146" s="947">
        <v>146</v>
      </c>
      <c r="C146" s="939" t="s">
        <v>1139</v>
      </c>
    </row>
    <row r="147" spans="1:3">
      <c r="A147" s="948">
        <f>Justificatif!G13</f>
        <v>0</v>
      </c>
      <c r="B147" s="947">
        <v>147</v>
      </c>
      <c r="C147" s="939" t="s">
        <v>1140</v>
      </c>
    </row>
    <row r="148" spans="1:3">
      <c r="A148" s="948">
        <f>Justificatif!G14</f>
        <v>0</v>
      </c>
      <c r="B148" s="947">
        <v>148</v>
      </c>
      <c r="C148" s="939" t="s">
        <v>1141</v>
      </c>
    </row>
    <row r="149" spans="1:3">
      <c r="A149" s="948">
        <f>Justificatif!G17</f>
        <v>0</v>
      </c>
      <c r="B149" s="947">
        <v>149</v>
      </c>
      <c r="C149" s="939" t="s">
        <v>1142</v>
      </c>
    </row>
    <row r="150" spans="1:3">
      <c r="A150" s="948">
        <f>Justificatif!G18</f>
        <v>0</v>
      </c>
      <c r="B150" s="947">
        <v>150</v>
      </c>
      <c r="C150" s="939" t="s">
        <v>1143</v>
      </c>
    </row>
    <row r="151" spans="1:3">
      <c r="A151" s="948">
        <f>Justificatif!G21</f>
        <v>0</v>
      </c>
      <c r="B151" s="947">
        <v>151</v>
      </c>
      <c r="C151" s="939" t="s">
        <v>1144</v>
      </c>
    </row>
    <row r="152" spans="1:3">
      <c r="A152" s="948">
        <f>Justificatif!G22</f>
        <v>0</v>
      </c>
      <c r="B152" s="947">
        <v>152</v>
      </c>
      <c r="C152" s="939" t="s">
        <v>1145</v>
      </c>
    </row>
    <row r="153" spans="1:3">
      <c r="A153" s="948">
        <f>Justificatif!B24</f>
        <v>0</v>
      </c>
      <c r="B153" s="947">
        <v>153</v>
      </c>
      <c r="C153" s="939" t="s">
        <v>1972</v>
      </c>
    </row>
    <row r="154" spans="1:3">
      <c r="A154" s="948">
        <f>Justificatif!J24</f>
        <v>0</v>
      </c>
      <c r="B154" s="947">
        <v>154</v>
      </c>
      <c r="C154" s="939" t="s">
        <v>1149</v>
      </c>
    </row>
    <row r="155" spans="1:3">
      <c r="A155" s="948">
        <f>Justificatif!L24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Justificatif!B63</f>
        <v>x</v>
      </c>
      <c r="B158" s="947">
        <v>158</v>
      </c>
      <c r="C158" s="939" t="s">
        <v>1153</v>
      </c>
    </row>
    <row r="159" spans="1:3">
      <c r="A159" s="948" t="str">
        <f>Justificatif!B64</f>
        <v>x</v>
      </c>
      <c r="B159" s="947">
        <v>159</v>
      </c>
      <c r="C159" s="939" t="s">
        <v>1154</v>
      </c>
    </row>
    <row r="160" spans="1:3">
      <c r="A160" s="948">
        <f>Justificatif!G63</f>
        <v>0</v>
      </c>
      <c r="B160" s="947">
        <v>160</v>
      </c>
      <c r="C160" s="939" t="s">
        <v>1155</v>
      </c>
    </row>
    <row r="161" spans="1:7">
      <c r="A161" s="948">
        <f>Justificatif!H63</f>
        <v>0</v>
      </c>
      <c r="B161" s="947">
        <v>161</v>
      </c>
      <c r="C161" s="939" t="s">
        <v>1156</v>
      </c>
    </row>
    <row r="162" spans="1:7">
      <c r="A162" s="948">
        <f>Justificatif!G64</f>
        <v>0</v>
      </c>
      <c r="B162" s="947">
        <v>162</v>
      </c>
      <c r="C162" s="939" t="s">
        <v>1157</v>
      </c>
    </row>
    <row r="163" spans="1:7">
      <c r="A163" s="950">
        <f>Justificatif!H64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Justificatif!G47</f>
        <v>0</v>
      </c>
      <c r="B168" s="947">
        <v>168</v>
      </c>
      <c r="C168" s="939" t="s">
        <v>1188</v>
      </c>
    </row>
    <row r="169" spans="1:7">
      <c r="A169" s="948">
        <f>Justificatif!G48</f>
        <v>0</v>
      </c>
      <c r="B169" s="947">
        <v>169</v>
      </c>
      <c r="C169" s="939" t="s">
        <v>1189</v>
      </c>
    </row>
    <row r="170" spans="1:7">
      <c r="A170" s="948">
        <f>Justificatif!G49</f>
        <v>0</v>
      </c>
      <c r="B170" s="947">
        <v>170</v>
      </c>
      <c r="C170" s="939" t="s">
        <v>1191</v>
      </c>
    </row>
    <row r="171" spans="1:7">
      <c r="A171" s="948">
        <f>Justificatif!G50</f>
        <v>0</v>
      </c>
      <c r="B171" s="947">
        <v>171</v>
      </c>
      <c r="C171" s="939" t="s">
        <v>1190</v>
      </c>
    </row>
    <row r="172" spans="1:7">
      <c r="A172" s="948" t="str">
        <f>Justificatif!G51</f>
        <v/>
      </c>
      <c r="B172" s="947">
        <v>172</v>
      </c>
      <c r="C172" s="939" t="s">
        <v>1192</v>
      </c>
    </row>
    <row r="173" spans="1:7">
      <c r="A173" s="948">
        <f>Justificatif!H47</f>
        <v>0</v>
      </c>
      <c r="B173" s="947">
        <v>173</v>
      </c>
      <c r="C173" s="939" t="s">
        <v>1193</v>
      </c>
    </row>
    <row r="174" spans="1:7">
      <c r="A174" s="948">
        <f>Justificatif!H48</f>
        <v>0</v>
      </c>
      <c r="B174" s="947">
        <v>174</v>
      </c>
      <c r="C174" s="939" t="s">
        <v>1195</v>
      </c>
    </row>
    <row r="175" spans="1:7">
      <c r="A175" s="948">
        <f>Justificatif!H49</f>
        <v>0</v>
      </c>
      <c r="B175" s="947">
        <v>175</v>
      </c>
      <c r="C175" s="939" t="s">
        <v>1196</v>
      </c>
    </row>
    <row r="176" spans="1:7">
      <c r="A176" s="948">
        <f>Justificatif!H50</f>
        <v>0</v>
      </c>
      <c r="B176" s="947">
        <v>176</v>
      </c>
      <c r="C176" s="939" t="s">
        <v>1194</v>
      </c>
    </row>
    <row r="177" spans="1:3">
      <c r="A177" s="948">
        <f>Justificatif!H51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Justificatif!F47</f>
        <v>0</v>
      </c>
      <c r="B180" s="947">
        <v>180</v>
      </c>
      <c r="C180" s="939" t="s">
        <v>1198</v>
      </c>
    </row>
    <row r="181" spans="1:3">
      <c r="A181" s="948">
        <f>Justificatif!F48</f>
        <v>0</v>
      </c>
      <c r="B181" s="947">
        <v>181</v>
      </c>
      <c r="C181" s="939" t="s">
        <v>1199</v>
      </c>
    </row>
    <row r="182" spans="1:3">
      <c r="A182" s="948">
        <f>Justificatif!F49</f>
        <v>0</v>
      </c>
      <c r="B182" s="947">
        <v>182</v>
      </c>
      <c r="C182" s="939" t="s">
        <v>1200</v>
      </c>
    </row>
    <row r="183" spans="1:3">
      <c r="A183" s="948">
        <f>Justificatif!F50</f>
        <v>0</v>
      </c>
      <c r="B183" s="947">
        <v>183</v>
      </c>
      <c r="C183" s="939" t="s">
        <v>1201</v>
      </c>
    </row>
    <row r="184" spans="1:3">
      <c r="A184" s="948">
        <f>Justificatif!G34</f>
        <v>0</v>
      </c>
      <c r="B184" s="947">
        <v>184</v>
      </c>
      <c r="C184" s="1328" t="s">
        <v>1165</v>
      </c>
    </row>
    <row r="185" spans="1:3">
      <c r="A185" s="948">
        <f>Justificatif!H34</f>
        <v>0</v>
      </c>
      <c r="B185" s="947">
        <v>185</v>
      </c>
      <c r="C185" s="1328" t="s">
        <v>1166</v>
      </c>
    </row>
    <row r="186" spans="1:3">
      <c r="A186" s="948">
        <f>Justificatif!I34</f>
        <v>0</v>
      </c>
      <c r="B186" s="947">
        <v>186</v>
      </c>
      <c r="C186" s="1328" t="s">
        <v>1167</v>
      </c>
    </row>
    <row r="187" spans="1:3">
      <c r="A187" s="948">
        <f>Justificatif!J34</f>
        <v>0</v>
      </c>
      <c r="B187" s="947">
        <v>187</v>
      </c>
      <c r="C187" s="1328" t="s">
        <v>1168</v>
      </c>
    </row>
    <row r="188" spans="1:3">
      <c r="A188" s="948">
        <f>Justificatif!L34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Justificatif!G39</f>
        <v>0</v>
      </c>
      <c r="B194" s="947">
        <v>194</v>
      </c>
      <c r="C194" s="1328" t="s">
        <v>1175</v>
      </c>
    </row>
    <row r="195" spans="1:3">
      <c r="A195" s="953">
        <f>Justificatif!H39</f>
        <v>0</v>
      </c>
      <c r="B195" s="947">
        <v>195</v>
      </c>
      <c r="C195" s="1328" t="s">
        <v>1176</v>
      </c>
    </row>
    <row r="196" spans="1:3">
      <c r="A196" s="953">
        <f>Justificatif!I39</f>
        <v>0</v>
      </c>
      <c r="B196" s="947">
        <v>196</v>
      </c>
      <c r="C196" s="1328" t="s">
        <v>1177</v>
      </c>
    </row>
    <row r="197" spans="1:3">
      <c r="A197" s="953">
        <f>Justificatif!J39</f>
        <v>0</v>
      </c>
      <c r="B197" s="947">
        <v>197</v>
      </c>
      <c r="C197" s="1328" t="s">
        <v>1178</v>
      </c>
    </row>
    <row r="198" spans="1:3">
      <c r="A198" s="953">
        <f>Justificatif!L39</f>
        <v>0</v>
      </c>
      <c r="B198" s="947">
        <v>198</v>
      </c>
      <c r="C198" s="1328" t="s">
        <v>1179</v>
      </c>
    </row>
    <row r="199" spans="1:3">
      <c r="A199" s="948">
        <f>Justificatif!G40</f>
        <v>0</v>
      </c>
      <c r="B199" s="947">
        <v>199</v>
      </c>
      <c r="C199" s="1328" t="s">
        <v>1181</v>
      </c>
    </row>
    <row r="200" spans="1:3">
      <c r="A200" s="948">
        <f>Justificatif!H40</f>
        <v>0</v>
      </c>
      <c r="B200" s="947">
        <v>200</v>
      </c>
      <c r="C200" s="1328" t="s">
        <v>1182</v>
      </c>
    </row>
    <row r="201" spans="1:3">
      <c r="A201" s="948">
        <f>Justificatif!I40</f>
        <v>0</v>
      </c>
      <c r="B201" s="947">
        <v>201</v>
      </c>
      <c r="C201" s="1328" t="s">
        <v>1183</v>
      </c>
    </row>
    <row r="202" spans="1:3">
      <c r="A202" s="948">
        <f>Justificatif!J40</f>
        <v>0</v>
      </c>
      <c r="B202" s="947">
        <v>202</v>
      </c>
      <c r="C202" s="1328" t="s">
        <v>1184</v>
      </c>
    </row>
    <row r="203" spans="1:3">
      <c r="A203" s="948">
        <f>Justificatif!L40</f>
        <v>0</v>
      </c>
      <c r="B203" s="947">
        <v>203</v>
      </c>
      <c r="C203" s="1328" t="s">
        <v>1185</v>
      </c>
    </row>
    <row r="204" spans="1:3">
      <c r="A204" s="948">
        <f>Justificatif!G43</f>
        <v>0</v>
      </c>
      <c r="B204" s="947">
        <v>204</v>
      </c>
      <c r="C204" s="1328" t="s">
        <v>1973</v>
      </c>
    </row>
    <row r="205" spans="1:3">
      <c r="A205" s="948">
        <f>Justificatif!H43</f>
        <v>0</v>
      </c>
      <c r="B205" s="947">
        <v>205</v>
      </c>
      <c r="C205" s="1328" t="s">
        <v>1974</v>
      </c>
    </row>
    <row r="206" spans="1:3">
      <c r="A206" s="948">
        <f>Justificatif!I43</f>
        <v>0</v>
      </c>
      <c r="B206" s="947">
        <v>206</v>
      </c>
      <c r="C206" s="1328" t="s">
        <v>1975</v>
      </c>
    </row>
    <row r="207" spans="1:3">
      <c r="A207" s="948">
        <f>Justificatif!J43</f>
        <v>0</v>
      </c>
      <c r="B207" s="947">
        <v>207</v>
      </c>
      <c r="C207" s="1328" t="s">
        <v>1976</v>
      </c>
    </row>
    <row r="208" spans="1:3">
      <c r="A208" s="948">
        <f>Justificatif!L43</f>
        <v>0</v>
      </c>
      <c r="B208" s="947">
        <v>208</v>
      </c>
      <c r="C208" s="1328" t="s">
        <v>1186</v>
      </c>
    </row>
    <row r="209" spans="1:8">
      <c r="A209" s="948">
        <f>Justificatif!G58</f>
        <v>0</v>
      </c>
      <c r="B209" s="947">
        <v>209</v>
      </c>
      <c r="C209" s="1328" t="s">
        <v>1979</v>
      </c>
    </row>
    <row r="210" spans="1:8">
      <c r="A210" s="948">
        <f>MINERGIE_Wert</f>
        <v>0</v>
      </c>
      <c r="B210" s="947">
        <v>210</v>
      </c>
      <c r="C210" s="1328" t="s">
        <v>1980</v>
      </c>
    </row>
    <row r="211" spans="1:8">
      <c r="A211" s="948" t="str">
        <f>Justificatif!L58</f>
        <v/>
      </c>
      <c r="B211" s="947">
        <v>211</v>
      </c>
      <c r="C211" s="1328" t="s">
        <v>1977</v>
      </c>
    </row>
    <row r="212" spans="1:8">
      <c r="A212" s="948">
        <f>IF(A211="",0,IF(A211=0,1,VLOOKUP(A211,MINERGIE!$N$11:$P$13,3,FALSE))-1)</f>
        <v>0</v>
      </c>
      <c r="B212" s="947">
        <v>212</v>
      </c>
      <c r="C212" s="1328" t="s">
        <v>2119</v>
      </c>
    </row>
    <row r="213" spans="1:8">
      <c r="A213" s="948">
        <f>Justificatif!L60</f>
        <v>0</v>
      </c>
      <c r="B213" s="947">
        <v>213</v>
      </c>
      <c r="C213" s="1328" t="s">
        <v>1202</v>
      </c>
    </row>
    <row r="214" spans="1:8">
      <c r="A214" s="948">
        <f>IF(A213=0,1,VLOOKUP(A213,MINERGIE!$N$11:$P$13,3,FALSE))-1</f>
        <v>0</v>
      </c>
      <c r="B214" s="947">
        <v>214</v>
      </c>
      <c r="C214" s="1331" t="s">
        <v>2120</v>
      </c>
      <c r="D214" s="1324"/>
      <c r="E214" s="1324"/>
      <c r="F214" s="1324"/>
      <c r="G214" s="1324"/>
    </row>
    <row r="215" spans="1:8">
      <c r="A215" s="948">
        <f>Justificatif!G59</f>
        <v>0</v>
      </c>
      <c r="B215" s="947">
        <v>215</v>
      </c>
      <c r="C215" s="1328" t="s">
        <v>1981</v>
      </c>
    </row>
    <row r="216" spans="1:8">
      <c r="A216" s="948">
        <f>Justificatif!I59</f>
        <v>0</v>
      </c>
      <c r="B216" s="947">
        <v>216</v>
      </c>
      <c r="C216" s="1328" t="s">
        <v>1982</v>
      </c>
    </row>
    <row r="217" spans="1:8">
      <c r="A217" s="948" t="str">
        <f>Justificatif!L59</f>
        <v/>
      </c>
      <c r="B217" s="947">
        <v>217</v>
      </c>
      <c r="C217" s="1328" t="s">
        <v>1983</v>
      </c>
    </row>
    <row r="218" spans="1:8">
      <c r="A218" s="948">
        <f>IF(A217="",0,IF(A217=0,1,VLOOKUP(A217,MINERGIE!$N$11:$P$13,3,FALSE))-1)</f>
        <v>0</v>
      </c>
      <c r="B218" s="947">
        <v>218</v>
      </c>
      <c r="C218" s="1328" t="s">
        <v>2121</v>
      </c>
    </row>
    <row r="219" spans="1:8">
      <c r="A219" s="948">
        <f>Justificatif!G44</f>
        <v>0</v>
      </c>
      <c r="B219" s="947">
        <v>219</v>
      </c>
      <c r="C219" s="1328" t="s">
        <v>1984</v>
      </c>
    </row>
    <row r="220" spans="1:8">
      <c r="A220" s="948">
        <f>Justificatif!H44</f>
        <v>0</v>
      </c>
      <c r="B220" s="947">
        <v>220</v>
      </c>
      <c r="C220" s="1328" t="s">
        <v>1985</v>
      </c>
    </row>
    <row r="221" spans="1:8">
      <c r="A221" s="948">
        <f>Justificatif!I44</f>
        <v>0</v>
      </c>
      <c r="B221" s="947">
        <v>221</v>
      </c>
      <c r="C221" s="1328" t="s">
        <v>1986</v>
      </c>
    </row>
    <row r="222" spans="1:8">
      <c r="A222" s="950">
        <f>Justificatif!J44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Eté!I19</f>
        <v>0</v>
      </c>
      <c r="B380" s="947">
        <v>380</v>
      </c>
      <c r="C380" s="1328" t="s">
        <v>2045</v>
      </c>
      <c r="D380" s="1323"/>
      <c r="E380" s="1323"/>
      <c r="F380" s="1323"/>
      <c r="G380" s="1323"/>
      <c r="H380" s="1323"/>
      <c r="I380" s="1323"/>
    </row>
    <row r="381" spans="1:9">
      <c r="A381" s="1326">
        <f>IF(A380=0,1,VLOOKUP(A380,Eté!$Q$11:$R$15,2,FALSE))-1</f>
        <v>0</v>
      </c>
      <c r="B381" s="947">
        <v>381</v>
      </c>
      <c r="C381" s="1328" t="s">
        <v>2165</v>
      </c>
    </row>
    <row r="382" spans="1:9">
      <c r="A382" s="948">
        <f>Eté!J19</f>
        <v>0</v>
      </c>
      <c r="B382" s="947">
        <v>382</v>
      </c>
      <c r="C382" s="1328" t="s">
        <v>2044</v>
      </c>
    </row>
    <row r="383" spans="1:9">
      <c r="A383" s="1326">
        <f>IF(A382=0,1,VLOOKUP(A382,Eté!$Q$11:$R$15,2,FALSE))-1</f>
        <v>0</v>
      </c>
      <c r="B383" s="947">
        <v>383</v>
      </c>
      <c r="C383" s="1328" t="s">
        <v>2166</v>
      </c>
    </row>
    <row r="384" spans="1:9">
      <c r="A384" s="948">
        <f>Eté!K19</f>
        <v>0</v>
      </c>
      <c r="B384" s="947">
        <v>384</v>
      </c>
      <c r="C384" s="1328" t="s">
        <v>2046</v>
      </c>
    </row>
    <row r="385" spans="1:3">
      <c r="A385" s="1326">
        <f>IF(A384=0,1,VLOOKUP(A384,Eté!$Q$11:$R$15,2,FALSE))-1</f>
        <v>0</v>
      </c>
      <c r="B385" s="947">
        <v>385</v>
      </c>
      <c r="C385" s="1328" t="s">
        <v>2167</v>
      </c>
    </row>
    <row r="386" spans="1:3">
      <c r="A386" s="948">
        <f>Eté!L19</f>
        <v>0</v>
      </c>
      <c r="B386" s="947">
        <v>386</v>
      </c>
      <c r="C386" s="1328" t="s">
        <v>2047</v>
      </c>
    </row>
    <row r="387" spans="1:3">
      <c r="A387" s="1326">
        <f>IF(A386=0,1,VLOOKUP(A386,Eté!$Q$11:$R$15,2,FALSE))-1</f>
        <v>0</v>
      </c>
      <c r="B387" s="947">
        <v>387</v>
      </c>
      <c r="C387" s="1328" t="s">
        <v>2164</v>
      </c>
    </row>
    <row r="388" spans="1:3">
      <c r="A388" s="948">
        <f>Eté!B20</f>
        <v>0</v>
      </c>
      <c r="B388" s="947">
        <v>388</v>
      </c>
      <c r="C388" s="1328" t="s">
        <v>2048</v>
      </c>
    </row>
    <row r="389" spans="1:3">
      <c r="A389" s="948">
        <f>Eté!I21</f>
        <v>0</v>
      </c>
      <c r="B389" s="947">
        <v>389</v>
      </c>
      <c r="C389" s="1328" t="s">
        <v>3326</v>
      </c>
    </row>
    <row r="390" spans="1:3">
      <c r="A390" s="1326">
        <f>IF(A389=0,1,VLOOKUP(A389,Eté!$P$11:$S$14,4,FALSE))-1</f>
        <v>0</v>
      </c>
      <c r="B390" s="947">
        <v>390</v>
      </c>
      <c r="C390" s="1328" t="s">
        <v>3327</v>
      </c>
    </row>
    <row r="391" spans="1:3">
      <c r="A391" s="948">
        <f>Eté!J21</f>
        <v>0</v>
      </c>
      <c r="B391" s="947">
        <v>391</v>
      </c>
      <c r="C391" s="1328" t="s">
        <v>3328</v>
      </c>
    </row>
    <row r="392" spans="1:3">
      <c r="A392" s="1326">
        <f>IF(A391=0,1,VLOOKUP(A391,Eté!$P$11:$S$14,4,FALSE))-1</f>
        <v>0</v>
      </c>
      <c r="B392" s="947">
        <v>392</v>
      </c>
      <c r="C392" s="1328" t="s">
        <v>3329</v>
      </c>
    </row>
    <row r="393" spans="1:3">
      <c r="A393" s="948">
        <f>Eté!K21</f>
        <v>0</v>
      </c>
      <c r="B393" s="947">
        <v>393</v>
      </c>
      <c r="C393" s="1328" t="s">
        <v>3330</v>
      </c>
    </row>
    <row r="394" spans="1:3">
      <c r="A394" s="1326">
        <f>IF(A393=0,1,VLOOKUP(A393,Eté!$P$11:$S$14,4,FALSE))-1</f>
        <v>0</v>
      </c>
      <c r="B394" s="947">
        <v>394</v>
      </c>
      <c r="C394" s="1328" t="s">
        <v>3331</v>
      </c>
    </row>
    <row r="395" spans="1:3">
      <c r="A395" s="948">
        <f>Eté!L21</f>
        <v>0</v>
      </c>
      <c r="B395" s="947">
        <v>395</v>
      </c>
      <c r="C395" s="1328" t="s">
        <v>3332</v>
      </c>
    </row>
    <row r="396" spans="1:3">
      <c r="A396" s="1326">
        <f>IF(A395=0,1,VLOOKUP(A395,Eté!$P$11:$S$14,4,FALSE))-1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Eté!I23</f>
        <v>0</v>
      </c>
      <c r="B405" s="947">
        <v>405</v>
      </c>
      <c r="C405" s="1328" t="s">
        <v>3350</v>
      </c>
    </row>
    <row r="406" spans="1:3">
      <c r="A406" s="1326">
        <f>IF(A405=0,1,VLOOKUP(A405,Eté!$P$11:$S$14,4,FALSE))-1</f>
        <v>0</v>
      </c>
      <c r="B406" s="947">
        <v>406</v>
      </c>
      <c r="C406" s="1328" t="s">
        <v>3351</v>
      </c>
    </row>
    <row r="407" spans="1:3">
      <c r="A407" s="948">
        <f>Eté!J23</f>
        <v>0</v>
      </c>
      <c r="B407" s="947">
        <v>407</v>
      </c>
      <c r="C407" s="1328" t="s">
        <v>3352</v>
      </c>
    </row>
    <row r="408" spans="1:3">
      <c r="A408" s="1326">
        <f>IF(A407=0,1,VLOOKUP(A407,Eté!$P$11:$S$14,4,FALSE))-1</f>
        <v>0</v>
      </c>
      <c r="B408" s="947">
        <v>408</v>
      </c>
      <c r="C408" s="1328" t="s">
        <v>3353</v>
      </c>
    </row>
    <row r="409" spans="1:3">
      <c r="A409" s="948">
        <f>Eté!K23</f>
        <v>0</v>
      </c>
      <c r="B409" s="947">
        <v>409</v>
      </c>
      <c r="C409" s="1328" t="s">
        <v>3354</v>
      </c>
    </row>
    <row r="410" spans="1:3">
      <c r="A410" s="1326">
        <f>IF(A409=0,1,VLOOKUP(A409,Eté!$P$11:$S$14,4,FALSE))-1</f>
        <v>0</v>
      </c>
      <c r="B410" s="947">
        <v>410</v>
      </c>
      <c r="C410" s="1328" t="s">
        <v>3355</v>
      </c>
    </row>
    <row r="411" spans="1:3">
      <c r="A411" s="948">
        <f>Eté!L23</f>
        <v>0</v>
      </c>
      <c r="B411" s="947">
        <v>411</v>
      </c>
      <c r="C411" s="1328" t="s">
        <v>3356</v>
      </c>
    </row>
    <row r="412" spans="1:3">
      <c r="A412" s="1326">
        <f>IF(A411=0,1,VLOOKUP(A411,Eté!$P$11:$S$14,4,FALSE))-1</f>
        <v>0</v>
      </c>
      <c r="B412" s="947">
        <v>412</v>
      </c>
      <c r="C412" s="1328" t="s">
        <v>3357</v>
      </c>
    </row>
    <row r="413" spans="1:3">
      <c r="A413" s="948">
        <f>Eté!I25</f>
        <v>0</v>
      </c>
      <c r="B413" s="947">
        <v>413</v>
      </c>
      <c r="C413" s="1328" t="s">
        <v>3342</v>
      </c>
    </row>
    <row r="414" spans="1:3">
      <c r="A414" s="1326">
        <f>IF(A413=0,1,VLOOKUP(A413,Eté!$P$11:$S$14,4,FALSE))-1</f>
        <v>0</v>
      </c>
      <c r="B414" s="947">
        <v>414</v>
      </c>
      <c r="C414" s="1328" t="s">
        <v>3343</v>
      </c>
    </row>
    <row r="415" spans="1:3">
      <c r="A415" s="948">
        <f>Eté!J25</f>
        <v>0</v>
      </c>
      <c r="B415" s="947">
        <v>415</v>
      </c>
      <c r="C415" s="1328" t="s">
        <v>3344</v>
      </c>
    </row>
    <row r="416" spans="1:3">
      <c r="A416" s="1326">
        <f>IF(A415=0,1,VLOOKUP(A415,Eté!$P$11:$S$14,4,FALSE))-1</f>
        <v>0</v>
      </c>
      <c r="B416" s="947">
        <v>416</v>
      </c>
      <c r="C416" s="1328" t="s">
        <v>3345</v>
      </c>
    </row>
    <row r="417" spans="1:9">
      <c r="A417" s="948">
        <f>Eté!K25</f>
        <v>0</v>
      </c>
      <c r="B417" s="947">
        <v>417</v>
      </c>
      <c r="C417" s="1328" t="s">
        <v>3346</v>
      </c>
    </row>
    <row r="418" spans="1:9">
      <c r="A418" s="1326">
        <f>IF(A417=0,1,VLOOKUP(A417,Eté!$P$11:$S$14,4,FALSE))-1</f>
        <v>0</v>
      </c>
      <c r="B418" s="947">
        <v>418</v>
      </c>
      <c r="C418" s="1328" t="s">
        <v>3347</v>
      </c>
    </row>
    <row r="419" spans="1:9">
      <c r="A419" s="948">
        <f>Eté!L25</f>
        <v>0</v>
      </c>
      <c r="B419" s="947">
        <v>419</v>
      </c>
      <c r="C419" s="1328" t="s">
        <v>3348</v>
      </c>
    </row>
    <row r="420" spans="1:9">
      <c r="A420" s="1326">
        <f>IF(A419=0,1,VLOOKUP(A419,Eté!$P$11:$S$14,4,FALSE))-1</f>
        <v>0</v>
      </c>
      <c r="B420" s="947">
        <v>420</v>
      </c>
      <c r="C420" s="1328" t="s">
        <v>3349</v>
      </c>
    </row>
    <row r="421" spans="1:9">
      <c r="A421" s="948">
        <f>Eté!I27</f>
        <v>0</v>
      </c>
      <c r="B421" s="947">
        <v>421</v>
      </c>
      <c r="C421" s="1328" t="s">
        <v>3334</v>
      </c>
      <c r="D421" s="1323"/>
      <c r="E421" s="1323"/>
      <c r="F421" s="1323"/>
      <c r="G421" s="1323"/>
      <c r="H421" s="1323"/>
      <c r="I421" s="1323"/>
    </row>
    <row r="422" spans="1:9">
      <c r="A422" s="1326">
        <f>IF(A421=0,1,VLOOKUP(A421,Eté!$P$11:$S$14,4,FALSE))-1</f>
        <v>0</v>
      </c>
      <c r="B422" s="947">
        <v>422</v>
      </c>
      <c r="C422" s="1328" t="s">
        <v>3338</v>
      </c>
    </row>
    <row r="423" spans="1:9">
      <c r="A423" s="948">
        <f>Eté!J27</f>
        <v>0</v>
      </c>
      <c r="B423" s="947">
        <v>423</v>
      </c>
      <c r="C423" s="1328" t="s">
        <v>3337</v>
      </c>
    </row>
    <row r="424" spans="1:9">
      <c r="A424" s="1326">
        <f>IF(A423=0,1,VLOOKUP(A423,Eté!$P$11:$S$14,4,FALSE))-1</f>
        <v>0</v>
      </c>
      <c r="B424" s="947">
        <v>424</v>
      </c>
      <c r="C424" s="1328" t="s">
        <v>3341</v>
      </c>
    </row>
    <row r="425" spans="1:9">
      <c r="A425" s="948">
        <f>Eté!K27</f>
        <v>0</v>
      </c>
      <c r="B425" s="947">
        <v>425</v>
      </c>
      <c r="C425" s="1328" t="s">
        <v>3336</v>
      </c>
    </row>
    <row r="426" spans="1:9">
      <c r="A426" s="1326">
        <f>IF(A425=0,1,VLOOKUP(A425,Eté!$P$11:$S$14,4,FALSE))-1</f>
        <v>0</v>
      </c>
      <c r="B426" s="947">
        <v>426</v>
      </c>
      <c r="C426" s="1328" t="s">
        <v>3340</v>
      </c>
    </row>
    <row r="427" spans="1:9">
      <c r="A427" s="948">
        <f>Eté!L27</f>
        <v>0</v>
      </c>
      <c r="B427" s="947">
        <v>427</v>
      </c>
      <c r="C427" s="1328" t="s">
        <v>3335</v>
      </c>
    </row>
    <row r="428" spans="1:9">
      <c r="A428" s="1326">
        <f>IF(A427=0,1,VLOOKUP(A427,Eté!$P$11:$S$14,4,FALSE))-1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Eté!I35</f>
        <v>0</v>
      </c>
      <c r="B437" s="947">
        <v>437</v>
      </c>
      <c r="C437" s="1328" t="s">
        <v>3317</v>
      </c>
      <c r="D437" s="1323"/>
      <c r="E437" s="1323"/>
      <c r="F437" s="1323"/>
      <c r="G437" s="1323"/>
      <c r="H437" s="1323"/>
    </row>
    <row r="438" spans="1:8">
      <c r="A438" s="1326">
        <f>IF(A437=0,1,VLOOKUP(A437,Eté!$P$11:$S$14,4,FALSE))-1</f>
        <v>0</v>
      </c>
      <c r="B438" s="947">
        <v>438</v>
      </c>
      <c r="C438" s="1328" t="s">
        <v>3318</v>
      </c>
    </row>
    <row r="439" spans="1:8">
      <c r="A439" s="948">
        <f>Eté!J35</f>
        <v>0</v>
      </c>
      <c r="B439" s="947">
        <v>439</v>
      </c>
      <c r="C439" s="1328" t="s">
        <v>3319</v>
      </c>
    </row>
    <row r="440" spans="1:8">
      <c r="A440" s="1326">
        <f>IF(A439=0,1,VLOOKUP(A439,Eté!$P$11:$S$14,4,FALSE))-1</f>
        <v>0</v>
      </c>
      <c r="B440" s="947">
        <v>440</v>
      </c>
      <c r="C440" s="1328" t="s">
        <v>3320</v>
      </c>
    </row>
    <row r="441" spans="1:8">
      <c r="A441" s="948">
        <f>Eté!K35</f>
        <v>0</v>
      </c>
      <c r="B441" s="947">
        <v>441</v>
      </c>
      <c r="C441" s="1328" t="s">
        <v>3321</v>
      </c>
    </row>
    <row r="442" spans="1:8">
      <c r="A442" s="1326">
        <f>IF(A441=0,1,VLOOKUP(A441,Eté!$P$11:$S$14,4,FALSE))-1</f>
        <v>0</v>
      </c>
      <c r="B442" s="947">
        <v>442</v>
      </c>
      <c r="C442" s="1328" t="s">
        <v>3322</v>
      </c>
    </row>
    <row r="443" spans="1:8">
      <c r="A443" s="948">
        <f>Eté!L35</f>
        <v>0</v>
      </c>
      <c r="B443" s="947">
        <v>443</v>
      </c>
      <c r="C443" s="1328" t="s">
        <v>3323</v>
      </c>
    </row>
    <row r="444" spans="1:8">
      <c r="A444" s="1326">
        <f>IF(A443=0,1,VLOOKUP(A443,Eté!$P$11:$S$14,4,FALSE))-1</f>
        <v>0</v>
      </c>
      <c r="B444" s="947">
        <v>444</v>
      </c>
      <c r="C444" s="1328" t="s">
        <v>3324</v>
      </c>
    </row>
    <row r="445" spans="1:8">
      <c r="A445" s="948">
        <f>Eté!B43</f>
        <v>0</v>
      </c>
      <c r="B445" s="947">
        <v>445</v>
      </c>
      <c r="C445" s="1328" t="s">
        <v>2049</v>
      </c>
    </row>
    <row r="446" spans="1:8">
      <c r="A446" s="1326">
        <f>Eté!I47</f>
        <v>0</v>
      </c>
      <c r="B446" s="947">
        <v>446</v>
      </c>
      <c r="C446" s="1328" t="s">
        <v>2050</v>
      </c>
    </row>
    <row r="447" spans="1:8">
      <c r="A447" s="1326">
        <f>IF(A446=0,1,VLOOKUP(A446,Eté!$P$11:$S$14,4,FALSE))-1</f>
        <v>0</v>
      </c>
      <c r="B447" s="947">
        <v>447</v>
      </c>
      <c r="C447" s="1328" t="s">
        <v>2173</v>
      </c>
    </row>
    <row r="448" spans="1:8">
      <c r="A448" s="948">
        <f>Eté!J47</f>
        <v>0</v>
      </c>
      <c r="B448" s="947">
        <v>448</v>
      </c>
      <c r="C448" s="1328" t="s">
        <v>2051</v>
      </c>
    </row>
    <row r="449" spans="1:3">
      <c r="A449" s="1326">
        <f>IF(A448=0,1,VLOOKUP(A448,Eté!$P$11:$S$14,4,FALSE))-1</f>
        <v>0</v>
      </c>
      <c r="B449" s="947">
        <v>449</v>
      </c>
      <c r="C449" s="1328" t="s">
        <v>2174</v>
      </c>
    </row>
    <row r="450" spans="1:3">
      <c r="A450" s="948">
        <f>Eté!K47</f>
        <v>0</v>
      </c>
      <c r="B450" s="947">
        <v>450</v>
      </c>
      <c r="C450" s="1328" t="s">
        <v>2052</v>
      </c>
    </row>
    <row r="451" spans="1:3">
      <c r="A451" s="1326">
        <f>IF(A450=0,1,VLOOKUP(A450,Eté!$P$11:$S$14,4,FALSE))-1</f>
        <v>0</v>
      </c>
      <c r="B451" s="947">
        <v>451</v>
      </c>
      <c r="C451" s="1328" t="s">
        <v>2175</v>
      </c>
    </row>
    <row r="452" spans="1:3">
      <c r="A452" s="948">
        <f>Eté!L47</f>
        <v>0</v>
      </c>
      <c r="B452" s="947">
        <v>452</v>
      </c>
      <c r="C452" s="1328" t="s">
        <v>2053</v>
      </c>
    </row>
    <row r="453" spans="1:3">
      <c r="A453" s="1326">
        <f>IF(A452=0,1,VLOOKUP(A452,Eté!$P$11:$S$14,4,FALSE))-1</f>
        <v>0</v>
      </c>
      <c r="B453" s="947">
        <v>453</v>
      </c>
      <c r="C453" s="1328" t="s">
        <v>2172</v>
      </c>
    </row>
    <row r="454" spans="1:3">
      <c r="A454" s="948">
        <f>Eté!I48</f>
        <v>0</v>
      </c>
      <c r="B454" s="947">
        <v>454</v>
      </c>
      <c r="C454" s="1328" t="s">
        <v>2054</v>
      </c>
    </row>
    <row r="455" spans="1:3">
      <c r="A455" s="1326">
        <f>IF(A454=0,1,VLOOKUP(A454,Eté!$P$11:$S$14,4,FALSE))-1</f>
        <v>0</v>
      </c>
      <c r="B455" s="947">
        <v>455</v>
      </c>
      <c r="C455" s="1328" t="s">
        <v>2171</v>
      </c>
    </row>
    <row r="456" spans="1:3">
      <c r="A456" s="948">
        <f>Eté!J48</f>
        <v>0</v>
      </c>
      <c r="B456" s="947">
        <v>456</v>
      </c>
      <c r="C456" s="1328" t="s">
        <v>2055</v>
      </c>
    </row>
    <row r="457" spans="1:3">
      <c r="A457" s="1326">
        <f>IF(A456=0,1,VLOOKUP(A456,Eté!$P$11:$S$14,4,FALSE))-1</f>
        <v>0</v>
      </c>
      <c r="B457" s="947">
        <v>457</v>
      </c>
      <c r="C457" s="1328" t="s">
        <v>2170</v>
      </c>
    </row>
    <row r="458" spans="1:3">
      <c r="A458" s="948">
        <f>Eté!K48</f>
        <v>0</v>
      </c>
      <c r="B458" s="947">
        <v>458</v>
      </c>
      <c r="C458" s="1328" t="s">
        <v>2056</v>
      </c>
    </row>
    <row r="459" spans="1:3">
      <c r="A459" s="1326">
        <f>IF(A458=0,1,VLOOKUP(A458,Eté!$P$11:$S$14,4,FALSE))-1</f>
        <v>0</v>
      </c>
      <c r="B459" s="947">
        <v>459</v>
      </c>
      <c r="C459" s="1328" t="s">
        <v>2169</v>
      </c>
    </row>
    <row r="460" spans="1:3">
      <c r="A460" s="948">
        <f>Eté!L48</f>
        <v>0</v>
      </c>
      <c r="B460" s="947">
        <v>460</v>
      </c>
      <c r="C460" s="1328" t="s">
        <v>2057</v>
      </c>
    </row>
    <row r="461" spans="1:3">
      <c r="A461" s="1326">
        <f>IF(A460=0,1,VLOOKUP(A460,Eté!$P$11:$S$14,4,FALSE))-1</f>
        <v>0</v>
      </c>
      <c r="B461" s="947">
        <v>461</v>
      </c>
      <c r="C461" s="1328" t="s">
        <v>2168</v>
      </c>
    </row>
    <row r="462" spans="1:3">
      <c r="A462" s="948">
        <f>IF(Kategorie1=1,0,Eté!I52)</f>
        <v>0</v>
      </c>
      <c r="B462" s="947">
        <v>462</v>
      </c>
      <c r="C462" s="1328" t="s">
        <v>3374</v>
      </c>
    </row>
    <row r="463" spans="1:3">
      <c r="A463" s="1326">
        <f>IF(A462=0,1,VLOOKUP(A462,Eté!$P$11:$S$14,4,FALSE))-1</f>
        <v>0</v>
      </c>
      <c r="B463" s="947">
        <v>463</v>
      </c>
      <c r="C463" s="1328" t="s">
        <v>3378</v>
      </c>
    </row>
    <row r="464" spans="1:3">
      <c r="A464" s="948">
        <f>IF(Kategorie2=1,0,Eté!J52)</f>
        <v>0</v>
      </c>
      <c r="B464" s="947">
        <v>464</v>
      </c>
      <c r="C464" s="1328" t="s">
        <v>3375</v>
      </c>
    </row>
    <row r="465" spans="1:8">
      <c r="A465" s="1326">
        <f>IF(A464=0,1,VLOOKUP(A464,Eté!$P$11:$S$14,4,FALSE))-1</f>
        <v>0</v>
      </c>
      <c r="B465" s="947">
        <v>465</v>
      </c>
      <c r="C465" s="1328" t="s">
        <v>3381</v>
      </c>
    </row>
    <row r="466" spans="1:8">
      <c r="A466" s="948">
        <f>IF(Kategorie3=1,0,Eté!K52)</f>
        <v>0</v>
      </c>
      <c r="B466" s="947">
        <v>466</v>
      </c>
      <c r="C466" s="1328" t="s">
        <v>3376</v>
      </c>
    </row>
    <row r="467" spans="1:8">
      <c r="A467" s="1326">
        <f>IF(A466=0,1,VLOOKUP(A466,Eté!$P$11:$S$14,4,FALSE))-1</f>
        <v>0</v>
      </c>
      <c r="B467" s="947">
        <v>467</v>
      </c>
      <c r="C467" s="1328" t="s">
        <v>3380</v>
      </c>
    </row>
    <row r="468" spans="1:8">
      <c r="A468" s="948">
        <f>IF(Kategorie4=1,0,Eté!L52)</f>
        <v>0</v>
      </c>
      <c r="B468" s="947">
        <v>468</v>
      </c>
      <c r="C468" s="1328" t="s">
        <v>3377</v>
      </c>
    </row>
    <row r="469" spans="1:8">
      <c r="A469" s="950">
        <f>IF(A468=0,1,VLOOKUP(A468,Eté!$P$11:$S$14,4,FALSE))-1</f>
        <v>0</v>
      </c>
      <c r="B469" s="1332">
        <v>469</v>
      </c>
      <c r="C469" s="1329" t="s">
        <v>3379</v>
      </c>
      <c r="D469" s="951"/>
      <c r="E469" s="951"/>
      <c r="F469" s="951"/>
      <c r="G469" s="951"/>
      <c r="H469" s="951"/>
    </row>
    <row r="470" spans="1:8">
      <c r="A470" s="948">
        <f>Aperçu!F30</f>
        <v>0</v>
      </c>
      <c r="B470" s="947">
        <v>470</v>
      </c>
      <c r="C470" s="1328" t="s">
        <v>2059</v>
      </c>
    </row>
    <row r="471" spans="1:8">
      <c r="A471" s="948">
        <f>Aperçu!H30</f>
        <v>0</v>
      </c>
      <c r="B471" s="947">
        <v>471</v>
      </c>
      <c r="C471" s="1328" t="s">
        <v>2065</v>
      </c>
    </row>
    <row r="472" spans="1:8">
      <c r="A472" s="953" t="str">
        <f>Aperçu!K30</f>
        <v>non</v>
      </c>
      <c r="B472" s="947">
        <v>472</v>
      </c>
      <c r="C472" s="1328" t="s">
        <v>2060</v>
      </c>
    </row>
    <row r="473" spans="1:8">
      <c r="A473" s="1326">
        <f>IF(A472=0,1,VLOOKUP(A472,Eté!$P$11:$S$14,4,FALSE))-1</f>
        <v>2</v>
      </c>
      <c r="B473" s="947">
        <v>473</v>
      </c>
      <c r="C473" s="1328" t="s">
        <v>2176</v>
      </c>
    </row>
    <row r="474" spans="1:8">
      <c r="A474" s="948" t="str">
        <f>Aperçu!F31</f>
        <v>Pas d’exigence</v>
      </c>
      <c r="B474" s="947">
        <v>474</v>
      </c>
      <c r="C474" s="1328" t="s">
        <v>2061</v>
      </c>
    </row>
    <row r="475" spans="1:8">
      <c r="A475" s="948">
        <f>Aperçu!H31</f>
        <v>0</v>
      </c>
      <c r="B475" s="947">
        <v>475</v>
      </c>
      <c r="C475" s="1328" t="s">
        <v>2062</v>
      </c>
    </row>
    <row r="476" spans="1:8">
      <c r="A476" s="948">
        <f>Aperçu!F37</f>
        <v>0</v>
      </c>
      <c r="B476" s="947">
        <v>476</v>
      </c>
      <c r="C476" s="1328" t="s">
        <v>2063</v>
      </c>
    </row>
    <row r="477" spans="1:8">
      <c r="A477" s="948">
        <f>Aperçu!H37</f>
        <v>0</v>
      </c>
      <c r="B477" s="947">
        <v>477</v>
      </c>
      <c r="C477" s="1328" t="s">
        <v>2064</v>
      </c>
    </row>
    <row r="478" spans="1:8">
      <c r="A478" s="948">
        <f>Aperçu!K37</f>
        <v>0</v>
      </c>
      <c r="B478" s="947">
        <v>478</v>
      </c>
      <c r="C478" s="1328" t="s">
        <v>2066</v>
      </c>
    </row>
    <row r="479" spans="1:8">
      <c r="A479" s="1326">
        <f>IF(A478=0,1,VLOOKUP(A478,Eté!$P$11:$S$14,4,FALSE))-1</f>
        <v>0</v>
      </c>
      <c r="B479" s="947">
        <v>479</v>
      </c>
      <c r="C479" s="1328" t="s">
        <v>2177</v>
      </c>
    </row>
    <row r="480" spans="1:8">
      <c r="A480" s="948">
        <f>Aperçu!F38</f>
        <v>0</v>
      </c>
      <c r="B480" s="947">
        <v>480</v>
      </c>
      <c r="C480" s="1328" t="s">
        <v>2067</v>
      </c>
    </row>
    <row r="481" spans="1:8">
      <c r="A481" s="948">
        <f>Aperçu!H38</f>
        <v>0</v>
      </c>
      <c r="B481" s="947">
        <v>481</v>
      </c>
      <c r="C481" s="1328" t="s">
        <v>2068</v>
      </c>
    </row>
    <row r="482" spans="1:8">
      <c r="A482" s="948" t="str">
        <f>Aperçu!K38</f>
        <v>non</v>
      </c>
      <c r="B482" s="947">
        <v>482</v>
      </c>
      <c r="C482" s="1328" t="s">
        <v>2069</v>
      </c>
    </row>
    <row r="483" spans="1:8">
      <c r="A483" s="1326">
        <f>IF(A482=0,1,VLOOKUP(A482,Eté!$P$11:$S$14,4,FALSE))-1</f>
        <v>2</v>
      </c>
      <c r="B483" s="947">
        <v>483</v>
      </c>
      <c r="C483" s="1328" t="s">
        <v>2178</v>
      </c>
    </row>
    <row r="484" spans="1:8">
      <c r="A484" s="948">
        <f>Aperçu!F39</f>
        <v>0</v>
      </c>
      <c r="B484" s="947">
        <v>484</v>
      </c>
      <c r="C484" s="1328" t="s">
        <v>2070</v>
      </c>
    </row>
    <row r="485" spans="1:8">
      <c r="A485" s="948">
        <f>Aperçu!H39</f>
        <v>0</v>
      </c>
      <c r="B485" s="947">
        <v>485</v>
      </c>
      <c r="C485" s="1328" t="s">
        <v>2071</v>
      </c>
    </row>
    <row r="486" spans="1:8">
      <c r="A486" s="948" t="str">
        <f>Aperçu!K39</f>
        <v/>
      </c>
      <c r="B486" s="947">
        <v>486</v>
      </c>
      <c r="C486" s="1328" t="s">
        <v>2072</v>
      </c>
      <c r="G486" t="str">
        <f>A486&amp;"ss"</f>
        <v>ss</v>
      </c>
    </row>
    <row r="487" spans="1:8">
      <c r="A487" s="950">
        <f>IF(OR(A486=0,A486=""),1,VLOOKUP(A486,Eté!$P$11:$S$14,4,FALSE))-1</f>
        <v>0</v>
      </c>
      <c r="B487" s="1332">
        <v>487</v>
      </c>
      <c r="C487" s="1329" t="s">
        <v>2179</v>
      </c>
      <c r="D487" s="951"/>
      <c r="E487" s="951"/>
      <c r="F487" s="951"/>
      <c r="G487" s="951"/>
      <c r="H487" s="951"/>
    </row>
    <row r="488" spans="1:8">
      <c r="A488" s="948">
        <f>Entrées!C51</f>
        <v>0</v>
      </c>
      <c r="B488" s="947">
        <v>488</v>
      </c>
      <c r="C488" s="939" t="s">
        <v>2073</v>
      </c>
    </row>
    <row r="489" spans="1:8">
      <c r="A489" s="948">
        <f>Entrées!C55</f>
        <v>0</v>
      </c>
      <c r="B489" s="947">
        <v>489</v>
      </c>
      <c r="C489" s="939" t="s">
        <v>2075</v>
      </c>
    </row>
    <row r="490" spans="1:8">
      <c r="A490" s="948">
        <f>Entrées!C57</f>
        <v>0</v>
      </c>
      <c r="B490" s="947">
        <v>490</v>
      </c>
      <c r="C490" s="939" t="s">
        <v>2078</v>
      </c>
    </row>
    <row r="491" spans="1:8">
      <c r="A491" s="948">
        <f>Entrées!E53</f>
        <v>800</v>
      </c>
      <c r="B491" s="947">
        <v>491</v>
      </c>
      <c r="C491" s="939" t="s">
        <v>2074</v>
      </c>
    </row>
    <row r="492" spans="1:8">
      <c r="A492" s="948">
        <f>Entrées!G55</f>
        <v>0</v>
      </c>
      <c r="B492" s="947">
        <v>492</v>
      </c>
      <c r="C492" s="939" t="s">
        <v>2076</v>
      </c>
    </row>
    <row r="493" spans="1:8">
      <c r="A493" s="948">
        <f>Entrées!G57</f>
        <v>0</v>
      </c>
      <c r="B493" s="947">
        <v>493</v>
      </c>
      <c r="C493" s="939" t="s">
        <v>2077</v>
      </c>
    </row>
    <row r="494" spans="1:8">
      <c r="A494" s="948">
        <f>Entrées!D60</f>
        <v>0</v>
      </c>
      <c r="B494" s="947">
        <v>494</v>
      </c>
      <c r="C494" s="939" t="s">
        <v>2079</v>
      </c>
    </row>
    <row r="495" spans="1:8">
      <c r="A495" s="1326">
        <f>IF(A494=0,1,VLOOKUP(A494,Eté!$P$11:$S$14,4,FALSE))-1</f>
        <v>0</v>
      </c>
      <c r="B495" s="947">
        <v>495</v>
      </c>
      <c r="C495" s="939" t="s">
        <v>2180</v>
      </c>
    </row>
    <row r="496" spans="1:8">
      <c r="A496" s="950">
        <f>Entrées!G60</f>
        <v>0</v>
      </c>
      <c r="B496" s="1332">
        <v>496</v>
      </c>
      <c r="C496" s="1330" t="s">
        <v>2080</v>
      </c>
      <c r="D496" s="951"/>
      <c r="E496" s="951"/>
      <c r="F496" s="951"/>
      <c r="G496" s="951"/>
      <c r="H496" s="951"/>
    </row>
    <row r="497" spans="1:3">
      <c r="A497" s="948">
        <f>Justificatif!AL45</f>
        <v>0</v>
      </c>
      <c r="B497" s="948">
        <v>497</v>
      </c>
      <c r="C497" s="939" t="s">
        <v>2199</v>
      </c>
    </row>
    <row r="498" spans="1:3">
      <c r="A498" s="948">
        <f>MINERGIE!F41</f>
        <v>0</v>
      </c>
      <c r="B498" s="948">
        <v>498</v>
      </c>
      <c r="C498" s="1328" t="s">
        <v>2416</v>
      </c>
    </row>
    <row r="499" spans="1:3">
      <c r="A499" s="1326">
        <f>IF(A498=0,1,VLOOKUP(A498,Eté!$P$11:$S$14,4,FALSE))-1</f>
        <v>0</v>
      </c>
      <c r="B499" s="948">
        <v>499</v>
      </c>
      <c r="C499" s="1328" t="s">
        <v>2417</v>
      </c>
    </row>
    <row r="500" spans="1:3">
      <c r="A500" s="948">
        <f>MINERGIE!G41</f>
        <v>0</v>
      </c>
      <c r="B500" s="948">
        <v>500</v>
      </c>
      <c r="C500" s="1328" t="s">
        <v>2418</v>
      </c>
    </row>
    <row r="501" spans="1:3">
      <c r="A501" s="1326">
        <f>IF(A500=0,1,VLOOKUP(A500,Eté!$P$11:$S$14,4,FALSE))-1</f>
        <v>0</v>
      </c>
      <c r="B501" s="948">
        <v>501</v>
      </c>
      <c r="C501" s="1328" t="s">
        <v>2419</v>
      </c>
    </row>
    <row r="502" spans="1:3">
      <c r="A502" s="948">
        <f>MINERGIE!H41</f>
        <v>0</v>
      </c>
      <c r="B502" s="948">
        <v>502</v>
      </c>
      <c r="C502" s="1328" t="s">
        <v>2420</v>
      </c>
    </row>
    <row r="503" spans="1:3">
      <c r="A503" s="1326">
        <f>IF(A502=0,1,VLOOKUP(A502,Eté!$P$11:$S$14,4,FALSE))-1</f>
        <v>0</v>
      </c>
      <c r="B503" s="948">
        <v>503</v>
      </c>
      <c r="C503" s="1328" t="s">
        <v>2421</v>
      </c>
    </row>
    <row r="504" spans="1:3">
      <c r="A504" s="948">
        <f>MINERGIE!I41</f>
        <v>0</v>
      </c>
      <c r="B504" s="948">
        <v>504</v>
      </c>
      <c r="C504" s="1328" t="s">
        <v>2422</v>
      </c>
    </row>
    <row r="505" spans="1:3">
      <c r="A505" s="1326">
        <f>IF(A504=0,1,VLOOKUP(A504,Eté!$P$11:$S$14,4,FALSE))-1</f>
        <v>0</v>
      </c>
      <c r="B505" s="948">
        <v>505</v>
      </c>
      <c r="C505" s="1328" t="s">
        <v>2423</v>
      </c>
    </row>
    <row r="506" spans="1:3">
      <c r="A506" s="948">
        <f>Entrées!O2+Entrées!P2+Entrées!Q2+Entrées!R2</f>
        <v>0</v>
      </c>
      <c r="B506" s="948">
        <v>506</v>
      </c>
      <c r="C506" s="1328" t="s">
        <v>2424</v>
      </c>
    </row>
    <row r="507" spans="1:3">
      <c r="A507" s="948" t="str">
        <f>Aperçu!K41</f>
        <v>non</v>
      </c>
      <c r="B507" s="948">
        <v>507</v>
      </c>
      <c r="C507" s="1328" t="s">
        <v>2430</v>
      </c>
    </row>
    <row r="508" spans="1:3">
      <c r="A508" s="1326">
        <f>IF(A507=0,1,VLOOKUP(A507,Eté!$P$11:$S$14,4,FALSE))-1</f>
        <v>2</v>
      </c>
      <c r="B508" s="948">
        <v>508</v>
      </c>
      <c r="C508" s="1328" t="s">
        <v>2431</v>
      </c>
    </row>
    <row r="509" spans="1:3">
      <c r="A509" s="948">
        <f>MINERGIE!S15</f>
        <v>0</v>
      </c>
      <c r="B509" s="948">
        <v>509</v>
      </c>
      <c r="C509" s="1328" t="s">
        <v>2437</v>
      </c>
    </row>
    <row r="510" spans="1:3">
      <c r="A510" s="948">
        <f>Aperçu!K53</f>
        <v>0</v>
      </c>
      <c r="B510" s="948">
        <v>510</v>
      </c>
      <c r="C510" s="1328" t="s">
        <v>2438</v>
      </c>
    </row>
    <row r="511" spans="1:3">
      <c r="A511" s="948">
        <f>Aperçu!K57</f>
        <v>0</v>
      </c>
      <c r="B511" s="948">
        <v>511</v>
      </c>
      <c r="C511" s="1328" t="s">
        <v>2439</v>
      </c>
    </row>
    <row r="512" spans="1:3">
      <c r="A512" s="948">
        <f>Aperçu!K59</f>
        <v>0</v>
      </c>
      <c r="B512" s="948">
        <v>512</v>
      </c>
      <c r="C512" s="1328" t="s">
        <v>2440</v>
      </c>
    </row>
    <row r="513" spans="1:3">
      <c r="A513" s="948">
        <f>Aperçu!K61</f>
        <v>0</v>
      </c>
      <c r="B513" s="948">
        <v>513</v>
      </c>
      <c r="C513" s="1328" t="s">
        <v>2441</v>
      </c>
    </row>
    <row r="514" spans="1:3">
      <c r="A514" s="948">
        <f>Aperçu!K63</f>
        <v>0</v>
      </c>
      <c r="B514" s="948">
        <v>514</v>
      </c>
      <c r="C514" s="1328" t="s">
        <v>2442</v>
      </c>
    </row>
    <row r="515" spans="1:3">
      <c r="A515" s="948">
        <f>Aperçu!K65</f>
        <v>0</v>
      </c>
      <c r="B515" s="948">
        <v>515</v>
      </c>
      <c r="C515" s="1328" t="s">
        <v>2443</v>
      </c>
    </row>
    <row r="516" spans="1:3">
      <c r="A516" s="948">
        <f>Aperçu!K67</f>
        <v>0</v>
      </c>
      <c r="B516" s="948">
        <v>516</v>
      </c>
      <c r="C516" s="1328" t="s">
        <v>2444</v>
      </c>
    </row>
    <row r="517" spans="1:3">
      <c r="A517" s="948">
        <f>Justificatif!L39</f>
        <v>0</v>
      </c>
      <c r="B517" s="948">
        <v>517</v>
      </c>
      <c r="C517" s="1328" t="s">
        <v>2445</v>
      </c>
    </row>
    <row r="518" spans="1:3">
      <c r="A518" s="948">
        <f>Justificatif!L40</f>
        <v>0</v>
      </c>
      <c r="B518" s="948">
        <v>518</v>
      </c>
      <c r="C518" s="1328" t="s">
        <v>2446</v>
      </c>
    </row>
    <row r="519" spans="1:3">
      <c r="A519" s="948">
        <f>Justificatif!I47</f>
        <v>0</v>
      </c>
      <c r="B519" s="948">
        <v>519</v>
      </c>
      <c r="C519" s="1328" t="s">
        <v>2452</v>
      </c>
    </row>
    <row r="520" spans="1:3">
      <c r="A520" s="948">
        <f>Justificatif!I48</f>
        <v>0</v>
      </c>
      <c r="B520" s="948">
        <v>520</v>
      </c>
      <c r="C520" s="1328" t="s">
        <v>2453</v>
      </c>
    </row>
    <row r="521" spans="1:3">
      <c r="A521" s="948">
        <f>Justificatif!I49</f>
        <v>0</v>
      </c>
      <c r="B521" s="948">
        <v>521</v>
      </c>
      <c r="C521" s="1328" t="s">
        <v>2454</v>
      </c>
    </row>
    <row r="522" spans="1:3">
      <c r="A522" s="948">
        <f>Justificatif!I50</f>
        <v>0</v>
      </c>
      <c r="B522" s="948">
        <v>522</v>
      </c>
      <c r="C522" s="1328" t="s">
        <v>2455</v>
      </c>
    </row>
    <row r="523" spans="1:3">
      <c r="A523" s="948">
        <f>Justificatif!I51</f>
        <v>0</v>
      </c>
      <c r="B523" s="948">
        <v>523</v>
      </c>
      <c r="C523" s="1328" t="s">
        <v>2456</v>
      </c>
    </row>
    <row r="524" spans="1:3">
      <c r="A524" s="948">
        <f>Justificatif!J47</f>
        <v>0</v>
      </c>
      <c r="B524" s="948">
        <v>524</v>
      </c>
      <c r="C524" s="1328" t="s">
        <v>2457</v>
      </c>
    </row>
    <row r="525" spans="1:3">
      <c r="A525" s="948">
        <f>Justificatif!J48</f>
        <v>0</v>
      </c>
      <c r="B525" s="948">
        <v>525</v>
      </c>
      <c r="C525" s="1328" t="s">
        <v>2461</v>
      </c>
    </row>
    <row r="526" spans="1:3">
      <c r="A526" s="948">
        <f>Justificatif!J49</f>
        <v>0</v>
      </c>
      <c r="B526" s="948">
        <v>526</v>
      </c>
      <c r="C526" s="1328" t="s">
        <v>2460</v>
      </c>
    </row>
    <row r="527" spans="1:3">
      <c r="A527" s="948">
        <f>Justificatif!J50</f>
        <v>0</v>
      </c>
      <c r="B527" s="948">
        <v>527</v>
      </c>
      <c r="C527" s="1328" t="s">
        <v>2459</v>
      </c>
    </row>
    <row r="528" spans="1:3">
      <c r="A528" s="948">
        <f>Justificatif!J51</f>
        <v>0</v>
      </c>
      <c r="B528" s="948">
        <v>528</v>
      </c>
      <c r="C528" s="1328" t="s">
        <v>2458</v>
      </c>
    </row>
    <row r="529" spans="1:3">
      <c r="A529" s="948">
        <f>Justificatif!I52</f>
        <v>0</v>
      </c>
      <c r="B529" s="948">
        <v>529</v>
      </c>
      <c r="C529" s="1328" t="s">
        <v>2462</v>
      </c>
    </row>
    <row r="530" spans="1:3">
      <c r="A530" s="948">
        <f>Justificatif!I53</f>
        <v>0</v>
      </c>
      <c r="B530" s="948">
        <v>530</v>
      </c>
      <c r="C530" s="1328" t="s">
        <v>2463</v>
      </c>
    </row>
    <row r="531" spans="1:3">
      <c r="A531" s="948">
        <f>Aperçu!F42</f>
        <v>0</v>
      </c>
      <c r="B531" s="948">
        <v>531</v>
      </c>
      <c r="C531" s="1328" t="s">
        <v>2511</v>
      </c>
    </row>
    <row r="532" spans="1:3">
      <c r="A532" s="948">
        <f>Aperçu!H42</f>
        <v>0</v>
      </c>
      <c r="B532" s="948">
        <v>532</v>
      </c>
      <c r="C532" s="1328" t="s">
        <v>2512</v>
      </c>
    </row>
    <row r="533" spans="1:3">
      <c r="A533" s="948" t="str">
        <f>Aperçu!K42</f>
        <v>non</v>
      </c>
      <c r="B533" s="948">
        <v>533</v>
      </c>
      <c r="C533" s="1328" t="s">
        <v>2513</v>
      </c>
    </row>
    <row r="534" spans="1:3">
      <c r="A534" s="1326">
        <f>IF(A533=0,1,VLOOKUP(A533,Eté!$P$11:$S$14,4,FALSE))-1</f>
        <v>2</v>
      </c>
      <c r="B534" s="948">
        <v>534</v>
      </c>
      <c r="C534" s="1328" t="s">
        <v>2514</v>
      </c>
    </row>
    <row r="535" spans="1:3">
      <c r="A535" s="948" t="str">
        <f>Aperçu!F43</f>
        <v/>
      </c>
      <c r="B535" s="948">
        <v>535</v>
      </c>
      <c r="C535" s="1328" t="s">
        <v>2515</v>
      </c>
    </row>
    <row r="536" spans="1:3">
      <c r="A536" s="948" t="str">
        <f>Aperçu!H43</f>
        <v/>
      </c>
      <c r="B536" s="948">
        <v>536</v>
      </c>
      <c r="C536" s="1328" t="s">
        <v>2516</v>
      </c>
    </row>
    <row r="537" spans="1:3">
      <c r="A537" s="948">
        <f>Aperçu!K43</f>
        <v>0</v>
      </c>
      <c r="B537" s="948">
        <v>537</v>
      </c>
      <c r="C537" s="1328" t="s">
        <v>2517</v>
      </c>
    </row>
    <row r="538" spans="1:3">
      <c r="A538" s="1326">
        <f>IF(OR(A537="",A537=0),1,VLOOKUP(A537,Eté!$P$11:$S$14,4,FALSE))-1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Eté!I36</f>
        <v>0</v>
      </c>
      <c r="B604" s="947">
        <v>604</v>
      </c>
      <c r="C604" s="1328" t="s">
        <v>3310</v>
      </c>
      <c r="D604" s="1323"/>
      <c r="E604" s="1323"/>
    </row>
    <row r="605" spans="1:10">
      <c r="A605" s="1719">
        <f>IF(A604=0,1,VLOOKUP(A604,Eté!$P$11:$S$14,4,FALSE))-1</f>
        <v>0</v>
      </c>
      <c r="B605" s="947">
        <v>605</v>
      </c>
      <c r="C605" s="1328" t="s">
        <v>3309</v>
      </c>
    </row>
    <row r="606" spans="1:10">
      <c r="A606" s="947">
        <f>Eté!J36</f>
        <v>0</v>
      </c>
      <c r="B606" s="947">
        <v>606</v>
      </c>
      <c r="C606" s="1328" t="s">
        <v>3311</v>
      </c>
      <c r="D606" s="1323"/>
      <c r="E606" s="1323"/>
    </row>
    <row r="607" spans="1:10">
      <c r="A607" s="1719">
        <f>IF(A606=0,1,VLOOKUP(A606,Eté!$P$11:$S$14,4,FALSE))-1</f>
        <v>0</v>
      </c>
      <c r="B607" s="947">
        <v>607</v>
      </c>
      <c r="C607" s="1328" t="s">
        <v>3314</v>
      </c>
      <c r="D607" s="1323"/>
      <c r="E607" s="1323"/>
    </row>
    <row r="608" spans="1:10">
      <c r="A608" s="947">
        <f>Eté!K36</f>
        <v>0</v>
      </c>
      <c r="B608" s="947">
        <v>608</v>
      </c>
      <c r="C608" s="1328" t="s">
        <v>3312</v>
      </c>
    </row>
    <row r="609" spans="1:3">
      <c r="A609" s="1719">
        <f>IF(A608=0,1,VLOOKUP(A608,Eté!$P$11:$S$14,4,FALSE))-1</f>
        <v>0</v>
      </c>
      <c r="B609" s="947">
        <v>609</v>
      </c>
      <c r="C609" s="1328" t="s">
        <v>3313</v>
      </c>
    </row>
    <row r="610" spans="1:3">
      <c r="A610" s="947">
        <f>Eté!L36</f>
        <v>0</v>
      </c>
      <c r="B610" s="947">
        <v>610</v>
      </c>
      <c r="C610" s="1328" t="s">
        <v>3315</v>
      </c>
    </row>
    <row r="611" spans="1:3">
      <c r="A611" s="1719">
        <f>IF(A610=0,1,VLOOKUP(A610,Eté!$P$11:$S$14,4,FALSE))-1</f>
        <v>0</v>
      </c>
      <c r="B611" s="947">
        <v>611</v>
      </c>
      <c r="C611" s="1328" t="s">
        <v>3316</v>
      </c>
    </row>
    <row r="612" spans="1:3">
      <c r="A612" s="947" t="str">
        <f>Eté!H22</f>
        <v/>
      </c>
      <c r="B612" s="947">
        <v>612</v>
      </c>
      <c r="C612" s="1328" t="s">
        <v>3359</v>
      </c>
    </row>
    <row r="613" spans="1:3">
      <c r="A613" s="948" t="str">
        <f>Eté!H24</f>
        <v/>
      </c>
      <c r="B613" s="947">
        <v>613</v>
      </c>
      <c r="C613" s="1328" t="s">
        <v>3358</v>
      </c>
    </row>
    <row r="614" spans="1:3">
      <c r="A614" s="948" t="str">
        <f>Eté!H26</f>
        <v/>
      </c>
      <c r="B614" s="947">
        <v>614</v>
      </c>
      <c r="C614" s="1328" t="s">
        <v>3360</v>
      </c>
    </row>
    <row r="615" spans="1:3">
      <c r="A615" s="948" t="str">
        <f>Eté!H28</f>
        <v/>
      </c>
      <c r="B615" s="947">
        <v>615</v>
      </c>
      <c r="C615" s="1328" t="s">
        <v>3361</v>
      </c>
    </row>
    <row r="616" spans="1:3">
      <c r="A616" s="948">
        <f>Eté!I29</f>
        <v>0</v>
      </c>
      <c r="B616" s="947">
        <v>616</v>
      </c>
      <c r="C616" s="1328" t="s">
        <v>3362</v>
      </c>
    </row>
    <row r="617" spans="1:3">
      <c r="A617" s="1326">
        <f>IF(A616=0,1,VLOOKUP(A616,Eté!$P$11:$S$14,4,FALSE))-1</f>
        <v>0</v>
      </c>
      <c r="B617" s="947">
        <v>617</v>
      </c>
      <c r="C617" s="1328" t="s">
        <v>3363</v>
      </c>
    </row>
    <row r="618" spans="1:3">
      <c r="A618" s="948">
        <f>Eté!J29</f>
        <v>0</v>
      </c>
      <c r="B618" s="947">
        <v>618</v>
      </c>
      <c r="C618" s="1328" t="s">
        <v>3364</v>
      </c>
    </row>
    <row r="619" spans="1:3">
      <c r="A619" s="1326">
        <f>IF(A618=0,1,VLOOKUP(A618,Eté!$P$11:$S$14,4,FALSE))-1</f>
        <v>0</v>
      </c>
      <c r="B619" s="947">
        <v>619</v>
      </c>
      <c r="C619" s="1328" t="s">
        <v>3365</v>
      </c>
    </row>
    <row r="620" spans="1:3">
      <c r="A620" s="948">
        <f>Eté!K29</f>
        <v>0</v>
      </c>
      <c r="B620" s="947">
        <v>620</v>
      </c>
      <c r="C620" s="1328" t="s">
        <v>3366</v>
      </c>
    </row>
    <row r="621" spans="1:3">
      <c r="A621" s="1326">
        <f>IF(A620=0,1,VLOOKUP(A620,Eté!$P$11:$S$14,4,FALSE))-1</f>
        <v>0</v>
      </c>
      <c r="B621" s="947">
        <v>621</v>
      </c>
      <c r="C621" s="1328" t="s">
        <v>3367</v>
      </c>
    </row>
    <row r="622" spans="1:3">
      <c r="A622" s="948">
        <f>Eté!L29</f>
        <v>0</v>
      </c>
      <c r="B622" s="947">
        <v>622</v>
      </c>
      <c r="C622" s="1328" t="s">
        <v>3368</v>
      </c>
    </row>
    <row r="623" spans="1:3">
      <c r="A623" s="1326">
        <f>IF(A622=0,1,VLOOKUP(A622,Eté!$P$11:$S$14,4,FALSE))-1</f>
        <v>0</v>
      </c>
      <c r="B623" s="947">
        <v>623</v>
      </c>
      <c r="C623" s="1328" t="s">
        <v>3369</v>
      </c>
    </row>
    <row r="624" spans="1:3">
      <c r="A624" s="948" t="str">
        <f>Eté!U47</f>
        <v/>
      </c>
      <c r="B624" s="947">
        <v>624</v>
      </c>
      <c r="C624" s="1328" t="s">
        <v>3383</v>
      </c>
    </row>
    <row r="625" spans="1:3">
      <c r="A625" s="948" t="str">
        <f>Eté!V47</f>
        <v/>
      </c>
      <c r="B625" s="947">
        <v>625</v>
      </c>
      <c r="C625" s="1328" t="s">
        <v>3384</v>
      </c>
    </row>
    <row r="626" spans="1:3">
      <c r="A626" s="948" t="str">
        <f>Eté!W47</f>
        <v/>
      </c>
      <c r="B626" s="947">
        <v>626</v>
      </c>
      <c r="C626" s="1328" t="s">
        <v>3385</v>
      </c>
    </row>
    <row r="627" spans="1:3">
      <c r="A627" s="948" t="str">
        <f>Eté!X47</f>
        <v/>
      </c>
      <c r="B627" s="947">
        <v>627</v>
      </c>
      <c r="C627" s="1328" t="s">
        <v>3386</v>
      </c>
    </row>
    <row r="628" spans="1:3">
      <c r="A628" s="948" t="b">
        <f>Eté!S52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Entrées!F37</f>
        <v/>
      </c>
      <c r="B631" s="947">
        <v>631</v>
      </c>
      <c r="C631" s="1328" t="s">
        <v>3829</v>
      </c>
    </row>
    <row r="632" spans="1:3">
      <c r="A632" s="948" t="str">
        <f>Entrées!G37</f>
        <v/>
      </c>
      <c r="B632" s="947">
        <v>632</v>
      </c>
      <c r="C632" s="1328" t="s">
        <v>3830</v>
      </c>
    </row>
    <row r="633" spans="1:3">
      <c r="A633" s="948" t="str">
        <f>Entrées!H37</f>
        <v/>
      </c>
      <c r="B633" s="947">
        <v>633</v>
      </c>
      <c r="C633" s="1328" t="s">
        <v>3831</v>
      </c>
    </row>
    <row r="634" spans="1:3">
      <c r="A634" s="948" t="str">
        <f>Entrées!I37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Eté!I35</f>
        <v>0</v>
      </c>
      <c r="B668" s="947">
        <v>668</v>
      </c>
      <c r="C668" s="1328" t="s">
        <v>3864</v>
      </c>
    </row>
    <row r="669" spans="1:3">
      <c r="A669" s="1326">
        <f>IF(A668=0,1,VLOOKUP(A668,Eté!$P$11:$S$14,4,FALSE))-1</f>
        <v>0</v>
      </c>
      <c r="B669" s="947">
        <v>669</v>
      </c>
      <c r="C669" s="1328" t="s">
        <v>3865</v>
      </c>
    </row>
    <row r="670" spans="1:3">
      <c r="A670" s="948">
        <f>Eté!J35</f>
        <v>0</v>
      </c>
      <c r="B670" s="947">
        <v>670</v>
      </c>
      <c r="C670" s="1328" t="s">
        <v>3869</v>
      </c>
    </row>
    <row r="671" spans="1:3">
      <c r="A671" s="1326">
        <f>IF(A670=0,1,VLOOKUP(A670,Eté!$P$11:$S$14,4,FALSE))-1</f>
        <v>0</v>
      </c>
      <c r="B671" s="947">
        <v>671</v>
      </c>
      <c r="C671" s="1328" t="s">
        <v>3868</v>
      </c>
    </row>
    <row r="672" spans="1:3">
      <c r="A672" s="948">
        <f>Eté!K35</f>
        <v>0</v>
      </c>
      <c r="B672" s="947">
        <v>672</v>
      </c>
      <c r="C672" s="1328" t="s">
        <v>3870</v>
      </c>
    </row>
    <row r="673" spans="1:3">
      <c r="A673" s="1326">
        <f>IF(A672=0,1,VLOOKUP(A672,Eté!$P$11:$S$14,4,FALSE))-1</f>
        <v>0</v>
      </c>
      <c r="B673" s="947">
        <v>673</v>
      </c>
      <c r="C673" s="1328" t="s">
        <v>3867</v>
      </c>
    </row>
    <row r="674" spans="1:3">
      <c r="A674" s="948">
        <f>Eté!L35</f>
        <v>0</v>
      </c>
      <c r="B674" s="947">
        <v>674</v>
      </c>
      <c r="C674" s="1328" t="s">
        <v>3871</v>
      </c>
    </row>
    <row r="675" spans="1:3">
      <c r="A675" s="1326">
        <f>IF(A674=0,1,VLOOKUP(A674,Eté!$P$11:$S$14,4,FALSE))-1</f>
        <v>0</v>
      </c>
      <c r="B675" s="947">
        <v>675</v>
      </c>
      <c r="C675" s="1328" t="s">
        <v>3866</v>
      </c>
    </row>
    <row r="676" spans="1:3">
      <c r="A676" s="948">
        <f>Eté!I36</f>
        <v>0</v>
      </c>
      <c r="B676" s="947">
        <v>676</v>
      </c>
      <c r="C676" s="1328" t="s">
        <v>3872</v>
      </c>
    </row>
    <row r="677" spans="1:3">
      <c r="A677" s="1326">
        <f>IF(A676=0,1,VLOOKUP(A676,Eté!$P$11:$S$14,4,FALSE))-1</f>
        <v>0</v>
      </c>
      <c r="B677" s="947">
        <v>677</v>
      </c>
      <c r="C677" s="1328" t="s">
        <v>3873</v>
      </c>
    </row>
    <row r="678" spans="1:3">
      <c r="A678" s="948">
        <f>Eté!J36</f>
        <v>0</v>
      </c>
      <c r="B678" s="947">
        <v>678</v>
      </c>
      <c r="C678" s="1328" t="s">
        <v>3874</v>
      </c>
    </row>
    <row r="679" spans="1:3">
      <c r="A679" s="1326">
        <f>IF(A678=0,1,VLOOKUP(A678,Eté!$P$11:$S$14,4,FALSE))-1</f>
        <v>0</v>
      </c>
      <c r="B679" s="947">
        <v>679</v>
      </c>
      <c r="C679" s="1328" t="s">
        <v>3875</v>
      </c>
    </row>
    <row r="680" spans="1:3">
      <c r="A680" s="948">
        <f>Eté!K36</f>
        <v>0</v>
      </c>
      <c r="B680" s="947">
        <v>680</v>
      </c>
      <c r="C680" s="1328" t="s">
        <v>3876</v>
      </c>
    </row>
    <row r="681" spans="1:3">
      <c r="A681" s="1326">
        <f>IF(A680=0,1,VLOOKUP(A680,Eté!$P$11:$S$14,4,FALSE))-1</f>
        <v>0</v>
      </c>
      <c r="B681" s="947">
        <v>681</v>
      </c>
      <c r="C681" s="1328" t="s">
        <v>3877</v>
      </c>
    </row>
    <row r="682" spans="1:3">
      <c r="A682" s="948">
        <f>Eté!L36</f>
        <v>0</v>
      </c>
      <c r="B682" s="947">
        <v>682</v>
      </c>
      <c r="C682" s="1328" t="s">
        <v>3878</v>
      </c>
    </row>
    <row r="683" spans="1:3">
      <c r="A683" s="1326">
        <f>IF(A682=0,1,VLOOKUP(A682,Eté!$P$11:$S$14,4,FALSE))-1</f>
        <v>0</v>
      </c>
      <c r="B683" s="947">
        <v>683</v>
      </c>
      <c r="C683" s="1328" t="s">
        <v>3879</v>
      </c>
    </row>
    <row r="684" spans="1:3">
      <c r="A684" s="948">
        <f>Eté!B43</f>
        <v>0</v>
      </c>
      <c r="B684" s="947">
        <v>684</v>
      </c>
      <c r="C684" s="1328" t="s">
        <v>3880</v>
      </c>
    </row>
    <row r="685" spans="1:3">
      <c r="A685" s="948">
        <f>Eté!I47</f>
        <v>0</v>
      </c>
      <c r="B685" s="947">
        <v>685</v>
      </c>
      <c r="C685" s="1328" t="s">
        <v>3881</v>
      </c>
    </row>
    <row r="686" spans="1:3">
      <c r="A686" s="1326">
        <f>IF(A685=0,1,VLOOKUP(A685,Eté!$P$11:$S$14,4,FALSE))-1</f>
        <v>0</v>
      </c>
      <c r="B686" s="947">
        <v>686</v>
      </c>
      <c r="C686" s="1328" t="s">
        <v>3882</v>
      </c>
    </row>
    <row r="687" spans="1:3">
      <c r="A687" s="948">
        <f>Eté!J47</f>
        <v>0</v>
      </c>
      <c r="B687" s="947">
        <v>687</v>
      </c>
      <c r="C687" s="1328" t="s">
        <v>3883</v>
      </c>
    </row>
    <row r="688" spans="1:3">
      <c r="A688" s="1326">
        <f>IF(A687=0,1,VLOOKUP(A687,Eté!$P$11:$S$14,4,FALSE))-1</f>
        <v>0</v>
      </c>
      <c r="B688" s="947">
        <v>688</v>
      </c>
      <c r="C688" s="1328" t="s">
        <v>3884</v>
      </c>
    </row>
    <row r="689" spans="1:4">
      <c r="A689" s="948">
        <f>Eté!K47</f>
        <v>0</v>
      </c>
      <c r="B689" s="947">
        <v>689</v>
      </c>
      <c r="C689" s="1328" t="s">
        <v>3885</v>
      </c>
    </row>
    <row r="690" spans="1:4">
      <c r="A690" s="1326">
        <f>IF(A689=0,1,VLOOKUP(A689,Eté!$P$11:$S$14,4,FALSE))-1</f>
        <v>0</v>
      </c>
      <c r="B690" s="947">
        <v>690</v>
      </c>
      <c r="C690" s="1328" t="s">
        <v>3886</v>
      </c>
    </row>
    <row r="691" spans="1:4">
      <c r="A691" s="948">
        <f>Eté!L47</f>
        <v>0</v>
      </c>
      <c r="B691" s="947">
        <v>691</v>
      </c>
      <c r="C691" s="1328" t="s">
        <v>3887</v>
      </c>
    </row>
    <row r="692" spans="1:4">
      <c r="A692" s="1326">
        <f>IF(A691=0,1,VLOOKUP(A691,Eté!$P$11:$S$14,4,FALSE))-1</f>
        <v>0</v>
      </c>
      <c r="B692" s="947">
        <v>692</v>
      </c>
      <c r="C692" s="1328" t="s">
        <v>3888</v>
      </c>
    </row>
    <row r="693" spans="1:4">
      <c r="A693" s="948">
        <f>Aperçu!F42</f>
        <v>0</v>
      </c>
      <c r="B693" s="947">
        <v>693</v>
      </c>
      <c r="C693" s="1328" t="s">
        <v>3889</v>
      </c>
    </row>
    <row r="694" spans="1:4">
      <c r="A694" s="948">
        <f>Aperçu!H42</f>
        <v>0</v>
      </c>
      <c r="B694" s="947">
        <v>694</v>
      </c>
      <c r="C694" s="1328" t="s">
        <v>3890</v>
      </c>
    </row>
    <row r="695" spans="1:4">
      <c r="A695" s="948" t="str">
        <f>IF(A693&lt;&gt;"",Aperçu!K42,"")</f>
        <v>non</v>
      </c>
      <c r="B695" s="947">
        <v>695</v>
      </c>
      <c r="C695" s="1328" t="s">
        <v>3891</v>
      </c>
    </row>
    <row r="696" spans="1:4">
      <c r="A696" s="1326">
        <f>IF(A695="",1,VLOOKUP(A695,Eté!$P$11:$S$14,4,FALSE))-1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IF(AlleZonenNeu,Construction!F24,)</f>
        <v>0</v>
      </c>
      <c r="B706" s="947">
        <v>706</v>
      </c>
      <c r="C706" s="1328" t="s">
        <v>4036</v>
      </c>
    </row>
    <row r="707" spans="1:3">
      <c r="A707" s="948">
        <f>IF(AlleZonenNeu,Construction!K24,)</f>
        <v>0</v>
      </c>
      <c r="B707" s="947">
        <v>707</v>
      </c>
      <c r="C707" s="1328" t="s">
        <v>4615</v>
      </c>
    </row>
    <row r="708" spans="1:3">
      <c r="A708" s="947">
        <f>IF(AlleZonenNeu,Construction!F25,)</f>
        <v>0</v>
      </c>
      <c r="B708" s="947">
        <v>708</v>
      </c>
      <c r="C708" s="1328" t="s">
        <v>4035</v>
      </c>
    </row>
    <row r="709" spans="1:3">
      <c r="A709" s="948">
        <f>IF(AlleZonenNeu,Construction!K25,)</f>
        <v>0</v>
      </c>
      <c r="B709" s="947">
        <v>709</v>
      </c>
      <c r="C709" s="1328" t="s">
        <v>4614</v>
      </c>
    </row>
    <row r="710" spans="1:3">
      <c r="A710" s="947">
        <f>IF(AlleZonenNeu,Construction!F26,)</f>
        <v>0</v>
      </c>
      <c r="B710" s="947">
        <v>710</v>
      </c>
      <c r="C710" s="1328" t="s">
        <v>4033</v>
      </c>
    </row>
    <row r="711" spans="1:3">
      <c r="A711" s="948">
        <f>IF(AlleZonenNeu,Construction!K26,)</f>
        <v>0</v>
      </c>
      <c r="B711" s="947">
        <v>711</v>
      </c>
      <c r="C711" s="1328" t="s">
        <v>4616</v>
      </c>
    </row>
    <row r="712" spans="1:3">
      <c r="A712" s="947">
        <f>IF(AlleZonenNeu,Construction!F27,)</f>
        <v>0</v>
      </c>
      <c r="B712" s="947">
        <v>712</v>
      </c>
      <c r="C712" s="1328" t="s">
        <v>4029</v>
      </c>
    </row>
    <row r="713" spans="1:3">
      <c r="A713" s="948">
        <f>IF(AlleZonenNeu,Construction!K27,)</f>
        <v>0</v>
      </c>
      <c r="B713" s="947">
        <v>713</v>
      </c>
      <c r="C713" s="1328" t="s">
        <v>4617</v>
      </c>
    </row>
    <row r="714" spans="1:3">
      <c r="A714" s="947">
        <f>IF(AlleZonenNeu,Construction!F28,)</f>
        <v>0</v>
      </c>
      <c r="B714" s="947">
        <v>714</v>
      </c>
      <c r="C714" s="1328" t="s">
        <v>4034</v>
      </c>
    </row>
    <row r="715" spans="1:3">
      <c r="A715" s="948">
        <f>IF(AlleZonenNeu,Construction!K28,)</f>
        <v>0</v>
      </c>
      <c r="B715" s="947">
        <v>715</v>
      </c>
      <c r="C715" s="1328" t="s">
        <v>4761</v>
      </c>
    </row>
    <row r="716" spans="1:3">
      <c r="A716" s="947">
        <f>IF(AlleZonenNeu,Construction!F29/100,)</f>
        <v>0</v>
      </c>
      <c r="B716" s="947">
        <v>716</v>
      </c>
      <c r="C716" s="1328" t="s">
        <v>4031</v>
      </c>
    </row>
    <row r="717" spans="1:3">
      <c r="A717" s="948">
        <f>IF(AlleZonenNeu,Construction!K29,)</f>
        <v>0</v>
      </c>
      <c r="B717" s="947">
        <v>717</v>
      </c>
      <c r="C717" s="1328" t="s">
        <v>4618</v>
      </c>
    </row>
    <row r="718" spans="1:3">
      <c r="A718" s="947">
        <f>IF(AlleZonenNeu,Construction!F30,)</f>
        <v>0</v>
      </c>
      <c r="B718" s="947">
        <v>718</v>
      </c>
      <c r="C718" s="1328" t="s">
        <v>4032</v>
      </c>
    </row>
    <row r="719" spans="1:3">
      <c r="A719" s="948">
        <f>IF(AlleZonenNeu,Construction!K30,)</f>
        <v>0</v>
      </c>
      <c r="B719" s="947">
        <v>719</v>
      </c>
      <c r="C719" s="1328" t="s">
        <v>4619</v>
      </c>
    </row>
    <row r="720" spans="1:3">
      <c r="A720" s="947">
        <f>IF(AlleZonenNeu,Construction!F31,)</f>
        <v>0</v>
      </c>
      <c r="B720" s="947">
        <v>720</v>
      </c>
      <c r="C720" t="s">
        <v>4030</v>
      </c>
    </row>
    <row r="721" spans="1:3">
      <c r="A721" s="948">
        <f>IF(AlleZonenNeu,IF(Construction!K31=1,0,IF(Construction!K31,1,2)),)</f>
        <v>0</v>
      </c>
      <c r="B721" s="947">
        <v>721</v>
      </c>
      <c r="C721" s="1328" t="s">
        <v>4620</v>
      </c>
    </row>
    <row r="722" spans="1:3">
      <c r="A722" s="947">
        <f>IF(AlleZonenNeu,Construction!F34,)</f>
        <v>0</v>
      </c>
      <c r="B722" s="947">
        <v>722</v>
      </c>
      <c r="C722" s="1328" t="s">
        <v>4621</v>
      </c>
    </row>
    <row r="723" spans="1:3">
      <c r="A723" s="947">
        <f>IF(AlleZonenNeu,Construction!H34,)</f>
        <v>0</v>
      </c>
      <c r="B723" s="947">
        <v>723</v>
      </c>
      <c r="C723" s="1328" t="s">
        <v>4622</v>
      </c>
    </row>
    <row r="724" spans="1:3">
      <c r="A724" s="947">
        <f>IF(AlleZonenNeu,Construction!F35,)</f>
        <v>0</v>
      </c>
      <c r="B724" s="947">
        <v>724</v>
      </c>
      <c r="C724" s="1328" t="s">
        <v>4623</v>
      </c>
    </row>
    <row r="725" spans="1:3">
      <c r="A725" s="947">
        <f>IF(AlleZonenNeu,Construction!H35,)</f>
        <v>0</v>
      </c>
      <c r="B725" s="947">
        <v>725</v>
      </c>
      <c r="C725" s="1328" t="s">
        <v>4624</v>
      </c>
    </row>
    <row r="726" spans="1:3">
      <c r="A726" s="947">
        <f>IF(AlleZonenNeu,Construction!H36,)</f>
        <v>0</v>
      </c>
      <c r="B726" s="947">
        <v>726</v>
      </c>
      <c r="C726" s="1328" t="s">
        <v>4625</v>
      </c>
    </row>
    <row r="727" spans="1:3">
      <c r="A727" s="953">
        <f>IF(AlleZonenNeu,Construction!R9,)</f>
        <v>0</v>
      </c>
      <c r="B727" s="947">
        <v>727</v>
      </c>
      <c r="C727" s="1328" t="s">
        <v>4657</v>
      </c>
    </row>
    <row r="728" spans="1:3">
      <c r="A728" s="953">
        <f>IF(AlleZonenNeu,Construction!T9,)</f>
        <v>0</v>
      </c>
      <c r="B728" s="947">
        <v>728</v>
      </c>
      <c r="C728" s="1328" t="s">
        <v>4658</v>
      </c>
    </row>
    <row r="729" spans="1:3">
      <c r="A729" s="953">
        <f>IF(AlleZonenNeu,Construction!V9,)</f>
        <v>0</v>
      </c>
      <c r="B729" s="947">
        <v>729</v>
      </c>
      <c r="C729" s="1328" t="s">
        <v>4659</v>
      </c>
    </row>
    <row r="730" spans="1:3">
      <c r="A730" s="953">
        <f>IF(AlleZonenNeu,Construction!X9,)</f>
        <v>0</v>
      </c>
      <c r="B730" s="947">
        <v>730</v>
      </c>
      <c r="C730" s="1328" t="s">
        <v>4660</v>
      </c>
    </row>
    <row r="731" spans="1:3">
      <c r="A731" s="948">
        <f>IF(AlleZonenNeu,Construction!S9,)</f>
        <v>0</v>
      </c>
      <c r="B731" s="947">
        <v>731</v>
      </c>
      <c r="C731" s="1328" t="s">
        <v>4661</v>
      </c>
    </row>
    <row r="732" spans="1:3">
      <c r="A732" s="948">
        <f>IF(AlleZonenNeu,Construction!U9,)</f>
        <v>0</v>
      </c>
      <c r="B732" s="947">
        <v>732</v>
      </c>
      <c r="C732" s="1328" t="s">
        <v>4662</v>
      </c>
    </row>
    <row r="733" spans="1:3">
      <c r="A733" s="948">
        <f>IF(AlleZonenNeu,Construction!W9,)</f>
        <v>0</v>
      </c>
      <c r="B733" s="947">
        <v>733</v>
      </c>
      <c r="C733" s="1328" t="s">
        <v>4663</v>
      </c>
    </row>
    <row r="734" spans="1:3">
      <c r="A734" s="948">
        <f>IF(AlleZonenNeu,Construction!Y9,)</f>
        <v>0</v>
      </c>
      <c r="B734" s="947">
        <v>734</v>
      </c>
      <c r="C734" s="1328" t="s">
        <v>4664</v>
      </c>
    </row>
    <row r="735" spans="1:3">
      <c r="A735" s="948">
        <f>IF(AlleZonenNeu,Construction!R26,)</f>
        <v>0</v>
      </c>
      <c r="B735" s="947">
        <v>735</v>
      </c>
      <c r="C735" s="1328" t="s">
        <v>4665</v>
      </c>
    </row>
    <row r="736" spans="1:3">
      <c r="A736" s="948">
        <f>IF(AlleZonenNeu,Construction!T26,)</f>
        <v>0</v>
      </c>
      <c r="B736" s="947">
        <v>736</v>
      </c>
      <c r="C736" s="1328" t="s">
        <v>4666</v>
      </c>
    </row>
    <row r="737" spans="1:3">
      <c r="A737" s="948">
        <f>IF(AlleZonenNeu,Construction!V26,)</f>
        <v>0</v>
      </c>
      <c r="B737" s="947">
        <v>737</v>
      </c>
      <c r="C737" s="1328" t="s">
        <v>4667</v>
      </c>
    </row>
    <row r="738" spans="1:3">
      <c r="A738" s="948">
        <f>IF(AlleZonenNeu,Construction!X26,)</f>
        <v>0</v>
      </c>
      <c r="B738" s="947">
        <v>738</v>
      </c>
      <c r="C738" s="1328" t="s">
        <v>4668</v>
      </c>
    </row>
    <row r="739" spans="1:3">
      <c r="A739" s="948">
        <f>IF(AlleZonenNeu,Construction!S26,)</f>
        <v>0</v>
      </c>
      <c r="B739" s="947">
        <v>739</v>
      </c>
      <c r="C739" s="1328" t="s">
        <v>4669</v>
      </c>
    </row>
    <row r="740" spans="1:3">
      <c r="A740" s="948">
        <f>IF(AlleZonenNeu,Construction!U26,)</f>
        <v>0</v>
      </c>
      <c r="B740" s="947">
        <v>740</v>
      </c>
      <c r="C740" s="1328" t="s">
        <v>4670</v>
      </c>
    </row>
    <row r="741" spans="1:3">
      <c r="A741" s="948">
        <f>IF(AlleZonenNeu,Construction!W26,)</f>
        <v>0</v>
      </c>
      <c r="B741" s="947">
        <v>741</v>
      </c>
      <c r="C741" s="1328" t="s">
        <v>4671</v>
      </c>
    </row>
    <row r="742" spans="1:3">
      <c r="A742" s="948">
        <f>IF(AlleZonenNeu,Construction!Y26,)</f>
        <v>0</v>
      </c>
      <c r="B742" s="947">
        <v>742</v>
      </c>
      <c r="C742" s="1328" t="s">
        <v>4672</v>
      </c>
    </row>
    <row r="743" spans="1:3">
      <c r="A743" s="948">
        <f>IF(AlleZonenNeu,Construction!R27,)</f>
        <v>0</v>
      </c>
      <c r="B743" s="947">
        <v>743</v>
      </c>
      <c r="C743" s="1328" t="s">
        <v>4673</v>
      </c>
    </row>
    <row r="744" spans="1:3">
      <c r="A744" s="948">
        <f>IF(AlleZonenNeu,Construction!T27,)</f>
        <v>0</v>
      </c>
      <c r="B744" s="947">
        <v>744</v>
      </c>
      <c r="C744" s="1328" t="s">
        <v>4674</v>
      </c>
    </row>
    <row r="745" spans="1:3">
      <c r="A745" s="948">
        <f>IF(AlleZonenNeu,Construction!V27,)</f>
        <v>0</v>
      </c>
      <c r="B745" s="947">
        <v>745</v>
      </c>
      <c r="C745" s="1328" t="s">
        <v>4675</v>
      </c>
    </row>
    <row r="746" spans="1:3">
      <c r="A746" s="948">
        <f>IF(AlleZonenNeu,Construction!X27,)</f>
        <v>0</v>
      </c>
      <c r="B746" s="947">
        <v>746</v>
      </c>
      <c r="C746" s="1328" t="s">
        <v>4676</v>
      </c>
    </row>
    <row r="747" spans="1:3">
      <c r="A747" s="948">
        <f>IF(AlleZonenNeu,Construction!S27,)</f>
        <v>0</v>
      </c>
      <c r="B747" s="947">
        <v>747</v>
      </c>
      <c r="C747" s="1328" t="s">
        <v>4677</v>
      </c>
    </row>
    <row r="748" spans="1:3">
      <c r="A748" s="948">
        <f>IF(AlleZonenNeu,Construction!U27,)</f>
        <v>0</v>
      </c>
      <c r="B748" s="947">
        <v>748</v>
      </c>
      <c r="C748" s="1328" t="s">
        <v>4678</v>
      </c>
    </row>
    <row r="749" spans="1:3">
      <c r="A749" s="948">
        <f>IF(AlleZonenNeu,Construction!W27,)</f>
        <v>0</v>
      </c>
      <c r="B749" s="947">
        <v>749</v>
      </c>
      <c r="C749" s="1328" t="s">
        <v>4679</v>
      </c>
    </row>
    <row r="750" spans="1:3">
      <c r="A750" s="948">
        <f>IF(AlleZonenNeu,Construction!Y27,)</f>
        <v>0</v>
      </c>
      <c r="B750" s="947">
        <v>750</v>
      </c>
      <c r="C750" s="1328" t="s">
        <v>4680</v>
      </c>
    </row>
    <row r="751" spans="1:3">
      <c r="A751" s="948">
        <f>IF(AlleZonenNeu,Construction!R28,)</f>
        <v>0</v>
      </c>
      <c r="B751" s="947">
        <v>751</v>
      </c>
      <c r="C751" s="1328" t="s">
        <v>4681</v>
      </c>
    </row>
    <row r="752" spans="1:3">
      <c r="A752" s="948">
        <f>IF(AlleZonenNeu,Construction!T28,)</f>
        <v>0</v>
      </c>
      <c r="B752" s="947">
        <v>752</v>
      </c>
      <c r="C752" s="1328" t="s">
        <v>4682</v>
      </c>
    </row>
    <row r="753" spans="1:3">
      <c r="A753" s="948">
        <f>IF(AlleZonenNeu,Construction!V28,)</f>
        <v>0</v>
      </c>
      <c r="B753" s="947">
        <v>753</v>
      </c>
      <c r="C753" s="1328" t="s">
        <v>4683</v>
      </c>
    </row>
    <row r="754" spans="1:3">
      <c r="A754" s="948">
        <f>IF(AlleZonenNeu,Construction!X28,)</f>
        <v>0</v>
      </c>
      <c r="B754" s="947">
        <v>754</v>
      </c>
      <c r="C754" s="1328" t="s">
        <v>4684</v>
      </c>
    </row>
    <row r="755" spans="1:3">
      <c r="A755" s="948">
        <f>IF(AlleZonenNeu,Construction!S28,)</f>
        <v>0</v>
      </c>
      <c r="B755" s="947">
        <v>755</v>
      </c>
      <c r="C755" s="1328" t="s">
        <v>4685</v>
      </c>
    </row>
    <row r="756" spans="1:3">
      <c r="A756" s="948">
        <f>IF(AlleZonenNeu,Construction!U28,)</f>
        <v>0</v>
      </c>
      <c r="B756" s="947">
        <v>756</v>
      </c>
      <c r="C756" s="1328" t="s">
        <v>4686</v>
      </c>
    </row>
    <row r="757" spans="1:3">
      <c r="A757" s="948">
        <f>IF(AlleZonenNeu,Construction!W28,)</f>
        <v>0</v>
      </c>
      <c r="B757" s="947">
        <v>757</v>
      </c>
      <c r="C757" s="1328" t="s">
        <v>4687</v>
      </c>
    </row>
    <row r="758" spans="1:3">
      <c r="A758" s="948">
        <f>IF(AlleZonenNeu,Construction!Y28,)</f>
        <v>0</v>
      </c>
      <c r="B758" s="947">
        <v>758</v>
      </c>
      <c r="C758" s="1328" t="s">
        <v>4688</v>
      </c>
    </row>
    <row r="759" spans="1:3">
      <c r="A759" s="948">
        <f>IF(AlleZonenNeu,Construction!R29,)</f>
        <v>0</v>
      </c>
      <c r="B759" s="947">
        <v>759</v>
      </c>
      <c r="C759" s="1328" t="s">
        <v>4689</v>
      </c>
    </row>
    <row r="760" spans="1:3">
      <c r="A760" s="948">
        <f>IF(AlleZonenNeu,Construction!T29,)</f>
        <v>0</v>
      </c>
      <c r="B760" s="947">
        <v>760</v>
      </c>
      <c r="C760" s="1328" t="s">
        <v>4690</v>
      </c>
    </row>
    <row r="761" spans="1:3">
      <c r="A761" s="948">
        <f>IF(AlleZonenNeu,Construction!V29,)</f>
        <v>0</v>
      </c>
      <c r="B761" s="947">
        <v>761</v>
      </c>
      <c r="C761" s="1328" t="s">
        <v>4691</v>
      </c>
    </row>
    <row r="762" spans="1:3">
      <c r="A762" s="948">
        <f>IF(AlleZonenNeu,Construction!X29,)</f>
        <v>0</v>
      </c>
      <c r="B762" s="947">
        <v>762</v>
      </c>
      <c r="C762" s="1328" t="s">
        <v>4692</v>
      </c>
    </row>
    <row r="763" spans="1:3">
      <c r="A763" s="948">
        <f>IF(AlleZonenNeu,Construction!S29,)</f>
        <v>0</v>
      </c>
      <c r="B763" s="947">
        <v>763</v>
      </c>
      <c r="C763" s="1328" t="s">
        <v>4693</v>
      </c>
    </row>
    <row r="764" spans="1:3">
      <c r="A764" s="948">
        <f>IF(AlleZonenNeu,Construction!U29,)</f>
        <v>0</v>
      </c>
      <c r="B764" s="947">
        <v>764</v>
      </c>
      <c r="C764" s="1328" t="s">
        <v>4694</v>
      </c>
    </row>
    <row r="765" spans="1:3">
      <c r="A765" s="948">
        <f>IF(AlleZonenNeu,Construction!W29,)</f>
        <v>0</v>
      </c>
      <c r="B765" s="947">
        <v>765</v>
      </c>
      <c r="C765" s="1328" t="s">
        <v>4695</v>
      </c>
    </row>
    <row r="766" spans="1:3">
      <c r="A766" s="948">
        <f>IF(AlleZonenNeu,Construction!Y29,)</f>
        <v>0</v>
      </c>
      <c r="B766" s="947">
        <v>766</v>
      </c>
      <c r="C766" s="1328" t="s">
        <v>4696</v>
      </c>
    </row>
    <row r="767" spans="1:3">
      <c r="A767" s="948">
        <f>IF(AlleZonenNeu,Construction!R30,)</f>
        <v>0</v>
      </c>
      <c r="B767" s="947">
        <v>767</v>
      </c>
      <c r="C767" s="1328" t="s">
        <v>4697</v>
      </c>
    </row>
    <row r="768" spans="1:3">
      <c r="A768" s="948">
        <f>IF(AlleZonenNeu,Construction!T30,)</f>
        <v>0</v>
      </c>
      <c r="B768" s="947">
        <v>768</v>
      </c>
      <c r="C768" s="1328" t="s">
        <v>4698</v>
      </c>
    </row>
    <row r="769" spans="1:3">
      <c r="A769" s="948">
        <f>IF(AlleZonenNeu,Construction!V30,)</f>
        <v>0</v>
      </c>
      <c r="B769" s="947">
        <v>769</v>
      </c>
      <c r="C769" s="1328" t="s">
        <v>4699</v>
      </c>
    </row>
    <row r="770" spans="1:3">
      <c r="A770" s="948">
        <f>IF(AlleZonenNeu,Construction!X30,)</f>
        <v>0</v>
      </c>
      <c r="B770" s="947">
        <v>770</v>
      </c>
      <c r="C770" s="1328" t="s">
        <v>4700</v>
      </c>
    </row>
    <row r="771" spans="1:3">
      <c r="A771" s="948">
        <f>IF(AlleZonenNeu,Construction!S30,)</f>
        <v>0</v>
      </c>
      <c r="B771" s="947">
        <v>771</v>
      </c>
      <c r="C771" s="1328" t="s">
        <v>4701</v>
      </c>
    </row>
    <row r="772" spans="1:3">
      <c r="A772" s="948">
        <f>IF(AlleZonenNeu,Construction!U30,)</f>
        <v>0</v>
      </c>
      <c r="B772" s="947">
        <v>772</v>
      </c>
      <c r="C772" s="1328" t="s">
        <v>4702</v>
      </c>
    </row>
    <row r="773" spans="1:3">
      <c r="A773" s="948">
        <f>IF(AlleZonenNeu,Construction!W30,)</f>
        <v>0</v>
      </c>
      <c r="B773" s="947">
        <v>773</v>
      </c>
      <c r="C773" s="1328" t="s">
        <v>4703</v>
      </c>
    </row>
    <row r="774" spans="1:3">
      <c r="A774" s="948">
        <f>IF(AlleZonenNeu,Construction!Y30,)</f>
        <v>0</v>
      </c>
      <c r="B774" s="947">
        <v>774</v>
      </c>
      <c r="C774" s="1328" t="s">
        <v>4704</v>
      </c>
    </row>
    <row r="775" spans="1:3">
      <c r="A775" s="2341">
        <f>IF(AlleZonenNeu,Construction!R31,)</f>
        <v>0</v>
      </c>
      <c r="B775" s="2340">
        <v>775</v>
      </c>
      <c r="C775" s="2332" t="s">
        <v>4706</v>
      </c>
    </row>
    <row r="776" spans="1:3">
      <c r="A776" s="2341">
        <f>IF(AlleZonenNeu,Construction!T31,)</f>
        <v>0</v>
      </c>
      <c r="B776" s="2340">
        <v>776</v>
      </c>
      <c r="C776" s="2332" t="s">
        <v>4707</v>
      </c>
    </row>
    <row r="777" spans="1:3">
      <c r="A777" s="2341">
        <f>IF(AlleZonenNeu,Construction!V31,)</f>
        <v>0</v>
      </c>
      <c r="B777" s="2340">
        <v>777</v>
      </c>
      <c r="C777" s="2332" t="s">
        <v>4708</v>
      </c>
    </row>
    <row r="778" spans="1:3">
      <c r="A778" s="2341">
        <f>IF(AlleZonenNeu,Construction!X31,)</f>
        <v>0</v>
      </c>
      <c r="B778" s="2340">
        <v>778</v>
      </c>
      <c r="C778" s="2332" t="s">
        <v>4709</v>
      </c>
    </row>
    <row r="779" spans="1:3">
      <c r="A779" s="2341">
        <f>IF(AlleZonenNeu,Construction!S31,)</f>
        <v>0</v>
      </c>
      <c r="B779" s="2340">
        <v>779</v>
      </c>
      <c r="C779" s="2332" t="s">
        <v>4710</v>
      </c>
    </row>
    <row r="780" spans="1:3">
      <c r="A780" s="2341">
        <f>IF(AlleZonenNeu,Construction!U31,)</f>
        <v>0</v>
      </c>
      <c r="B780" s="2340">
        <v>780</v>
      </c>
      <c r="C780" s="2332" t="s">
        <v>4711</v>
      </c>
    </row>
    <row r="781" spans="1:3">
      <c r="A781" s="2341">
        <f>IF(AlleZonenNeu,Construction!W31,)</f>
        <v>0</v>
      </c>
      <c r="B781" s="2340">
        <v>781</v>
      </c>
      <c r="C781" s="2332" t="s">
        <v>4712</v>
      </c>
    </row>
    <row r="782" spans="1:3">
      <c r="A782" s="2341">
        <f>IF(AlleZonenNeu,Construction!Y31,)</f>
        <v>0</v>
      </c>
      <c r="B782" s="2340">
        <v>782</v>
      </c>
      <c r="C782" s="2332" t="s">
        <v>4713</v>
      </c>
    </row>
    <row r="783" spans="1:3">
      <c r="A783" s="2341">
        <f>IF(AlleZonenNeu,Construction!R32,)</f>
        <v>0</v>
      </c>
      <c r="B783" s="2340">
        <v>783</v>
      </c>
      <c r="C783" s="2332" t="s">
        <v>4714</v>
      </c>
    </row>
    <row r="784" spans="1:3">
      <c r="A784" s="2341">
        <f>IF(AlleZonenNeu,Construction!T32,)</f>
        <v>0</v>
      </c>
      <c r="B784" s="2340">
        <v>784</v>
      </c>
      <c r="C784" s="2332" t="s">
        <v>4715</v>
      </c>
    </row>
    <row r="785" spans="1:3">
      <c r="A785" s="2341">
        <f>IF(AlleZonenNeu,Construction!V32,)</f>
        <v>0</v>
      </c>
      <c r="B785" s="2340">
        <v>785</v>
      </c>
      <c r="C785" s="2332" t="s">
        <v>4716</v>
      </c>
    </row>
    <row r="786" spans="1:3">
      <c r="A786" s="2341">
        <f>IF(AlleZonenNeu,Construction!X32,)</f>
        <v>0</v>
      </c>
      <c r="B786" s="2340">
        <v>786</v>
      </c>
      <c r="C786" s="2332" t="s">
        <v>4717</v>
      </c>
    </row>
    <row r="787" spans="1:3">
      <c r="A787" s="2341">
        <f>IF(AlleZonenNeu,Construction!S32,)</f>
        <v>0</v>
      </c>
      <c r="B787" s="2340">
        <v>787</v>
      </c>
      <c r="C787" s="2332" t="s">
        <v>4718</v>
      </c>
    </row>
    <row r="788" spans="1:3">
      <c r="A788" s="2341">
        <f>IF(AlleZonenNeu,Construction!U32,)</f>
        <v>0</v>
      </c>
      <c r="B788" s="2340">
        <v>788</v>
      </c>
      <c r="C788" s="2332" t="s">
        <v>4719</v>
      </c>
    </row>
    <row r="789" spans="1:3">
      <c r="A789" s="2341">
        <f>IF(AlleZonenNeu,Construction!W32,)</f>
        <v>0</v>
      </c>
      <c r="B789" s="2340">
        <v>789</v>
      </c>
      <c r="C789" s="2332" t="s">
        <v>4720</v>
      </c>
    </row>
    <row r="790" spans="1:3">
      <c r="A790" s="2341">
        <f>IF(AlleZonenNeu,Construction!Y32,)</f>
        <v>0</v>
      </c>
      <c r="B790" s="2340">
        <v>790</v>
      </c>
      <c r="C790" s="2332" t="s">
        <v>4721</v>
      </c>
    </row>
    <row r="791" spans="1:3">
      <c r="A791" s="2341">
        <f>IF(AlleZonenNeu,Construction!R18,)</f>
        <v>0</v>
      </c>
      <c r="B791" s="2340">
        <v>791</v>
      </c>
      <c r="C791" s="2332" t="s">
        <v>4729</v>
      </c>
    </row>
    <row r="792" spans="1:3">
      <c r="A792" s="2341">
        <f>IF(AlleZonenNeu,Construction!S18,)</f>
        <v>0</v>
      </c>
      <c r="B792" s="2340">
        <v>792</v>
      </c>
      <c r="C792" s="2332" t="s">
        <v>4730</v>
      </c>
    </row>
    <row r="793" spans="1:3">
      <c r="A793" s="2341">
        <f>IF(AlleZonenNeu,Construction!R19,)</f>
        <v>0</v>
      </c>
      <c r="B793" s="2340">
        <v>793</v>
      </c>
      <c r="C793" s="2332" t="s">
        <v>4731</v>
      </c>
    </row>
    <row r="794" spans="1:3">
      <c r="A794" s="2341">
        <f>IF(AlleZonenNeu,Construction!S19,)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v2.95</v>
      </c>
      <c r="C1" s="3"/>
      <c r="D1" s="3"/>
      <c r="E1" s="340"/>
      <c r="F1" s="3"/>
      <c r="G1" s="3"/>
      <c r="H1" s="3"/>
      <c r="I1" s="158"/>
      <c r="J1" s="3"/>
      <c r="K1" s="2508" t="str">
        <f>Uebersetzung!D5</f>
        <v>Formulaire EN-101 BE, v2.95</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5" t="str">
        <f>Uebersetzung!D318</f>
        <v>Aperçu</v>
      </c>
      <c r="H2" s="2926"/>
      <c r="I2" s="2926"/>
      <c r="J2" s="2926"/>
      <c r="K2" s="2927"/>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2" t="str">
        <f>Entrées!E3</f>
        <v>EN-101 BE</v>
      </c>
      <c r="F3" s="2953"/>
      <c r="G3" s="2928" t="str">
        <f>IF(bern,Uebersetzung!D702,Uebersetzung!D376)</f>
        <v>Loi sur l'énergie bernoise 2023</v>
      </c>
      <c r="H3" s="2929"/>
      <c r="I3" s="2929"/>
      <c r="J3" s="2929"/>
      <c r="K3" s="2930"/>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Instructions</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Champ de saisie (obligatoire)</v>
      </c>
      <c r="C18" s="2470"/>
      <c r="D18" s="2931" t="str">
        <f>Uebersetzung!D426</f>
        <v>Champ de saisie (facultatif)</v>
      </c>
      <c r="E18" s="2931"/>
      <c r="F18" s="2931"/>
      <c r="G18" s="11"/>
      <c r="H18" s="2932" t="str">
        <f>Uebersetzung!D427</f>
        <v>Liste déroulante (obligatoire)</v>
      </c>
      <c r="I18" s="2932"/>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Projet</v>
      </c>
      <c r="C20" s="1213"/>
      <c r="D20" s="1214"/>
      <c r="E20" s="1214"/>
      <c r="F20" s="1214"/>
      <c r="G20" s="1214" t="str">
        <f>Uebersetzung!D18</f>
        <v>Justificatif pour:</v>
      </c>
      <c r="H20" s="673"/>
      <c r="I20" s="1214" t="str">
        <f>MINERGIE!F13</f>
        <v>Loi sur l'énergie bernoise 2023</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Nom du projet:</v>
      </c>
      <c r="C21" s="2935" t="str">
        <f>IF(Projekt1="","",Projekt1)</f>
        <v/>
      </c>
      <c r="D21" s="2935"/>
      <c r="E21" s="2935"/>
      <c r="F21" s="2935"/>
      <c r="G21" s="864" t="str">
        <f>Uebersetzung!D10</f>
        <v>N° cadastre:</v>
      </c>
      <c r="H21" s="1237">
        <f>Projekt2</f>
        <v>0</v>
      </c>
      <c r="I21" s="1396" t="str">
        <f>IF(OR(MUKEN,bern),Uebersetzung!D11,Uebersetzung!D358)</f>
        <v>N° bâtiment:</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Adresse du bâtiment:</v>
      </c>
      <c r="C22" s="2933">
        <f>Entrées!C8</f>
        <v>0</v>
      </c>
      <c r="D22" s="2933"/>
      <c r="E22" s="2933"/>
      <c r="F22" s="2933"/>
      <c r="G22" s="2933"/>
      <c r="H22" s="2933"/>
      <c r="I22" s="2933"/>
      <c r="J22" s="2933"/>
      <c r="K22" s="2934"/>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Exigence satisfaite</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564" t="str">
        <f>Uebersetzung!D294</f>
        <v>Exigences</v>
      </c>
      <c r="G29" s="2936"/>
      <c r="H29" s="2564" t="str">
        <f>Uebersetzung!D295</f>
        <v>Valeur calculée</v>
      </c>
      <c r="I29" s="2936"/>
      <c r="J29" s="773"/>
      <c r="K29" s="2468" t="str">
        <f>Uebersetzung!D299</f>
        <v>Respectée?</v>
      </c>
      <c r="L29" s="2485"/>
      <c r="M29" s="2489"/>
      <c r="N29" s="2487"/>
      <c r="O29" s="2487"/>
      <c r="P29" s="2487"/>
      <c r="Q29" s="2487"/>
      <c r="R29" s="2487"/>
      <c r="S29" s="2485"/>
      <c r="T29" s="2485"/>
      <c r="U29" s="2488"/>
      <c r="V29" s="2488"/>
      <c r="W29" s="804"/>
      <c r="X29" s="804"/>
    </row>
    <row r="30" spans="1:24" s="298" customFormat="1" ht="30" customHeight="1">
      <c r="A30" s="1518" t="s">
        <v>2869</v>
      </c>
      <c r="B30" s="2384" t="str">
        <f>Justificatif!B58</f>
        <v>Efficacité énergétique globale pondérée EEGp</v>
      </c>
      <c r="C30" s="1213"/>
      <c r="D30" s="2385"/>
      <c r="E30" s="2386"/>
      <c r="F30" s="2937">
        <f>IF(bern,Justificatif!G58,MINERGIE!Z43)</f>
        <v>0</v>
      </c>
      <c r="G30" s="2938"/>
      <c r="H30" s="2937">
        <f>IF(bern,Justificatif!I58,IF(MUKEN=FALSE,Justificatif!I59))</f>
        <v>0</v>
      </c>
      <c r="I30" s="2938"/>
      <c r="J30" s="918"/>
      <c r="K30" s="2387" t="str">
        <f>IF(MUKEN,Uebersetzung!D26,IF(AND(F38&gt;0,H38=0),Uebersetzung!D26,IF(ROUND(F30,1)&gt;=ROUND(H30,1),IF(EBF&gt;0,Uebersetzung!D25,Uebersetzung!D26),Uebersetzung!D26)))</f>
        <v>non</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Emission de GES pendant l'exploitatio en CO2/m2 (Scope 1)</v>
      </c>
      <c r="C31" s="2470"/>
      <c r="D31" s="2470"/>
      <c r="E31" s="2382"/>
      <c r="F31" s="2939" t="str">
        <f>Uebersetzung!D462</f>
        <v>Pas d’exigence</v>
      </c>
      <c r="G31" s="2940"/>
      <c r="H31" s="2939">
        <f>Justificatif!AL45</f>
        <v>0</v>
      </c>
      <c r="I31" s="2940"/>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Satisfaction des exigences de base  (exploitation du bâtiment)</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564" t="str">
        <f>Uebersetzung!D294</f>
        <v>Exigences</v>
      </c>
      <c r="G36" s="2936"/>
      <c r="H36" s="2564" t="str">
        <f>Uebersetzung!D295</f>
        <v>Valeur calculée</v>
      </c>
      <c r="I36" s="2936"/>
      <c r="J36" s="773"/>
      <c r="K36" s="2468" t="str">
        <f>Uebersetzung!D299</f>
        <v>Respectée?</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Besoins de chaleur en kWh/m²</v>
      </c>
      <c r="C37" s="2475"/>
      <c r="D37" s="2475"/>
      <c r="E37" s="1500" t="s">
        <v>2606</v>
      </c>
      <c r="F37" s="2948">
        <f>MINERGIE!Z19</f>
        <v>0</v>
      </c>
      <c r="G37" s="2949"/>
      <c r="H37" s="2948">
        <f>MINERGIE!Z25</f>
        <v>0</v>
      </c>
      <c r="I37" s="2949"/>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Energie finale sans photovoltaïque en kWh/m²</v>
      </c>
      <c r="C38" s="2472"/>
      <c r="D38" s="2472"/>
      <c r="E38" s="2473"/>
      <c r="F38" s="2921">
        <f>IF(bern,,IF(Justificatif!L43="",0,Justificatif!L43))</f>
        <v>0</v>
      </c>
      <c r="G38" s="2922"/>
      <c r="H38" s="2921">
        <f>IF(bern,,IF(Justificatif!I58="",0,Justificatif!I58))</f>
        <v>0</v>
      </c>
      <c r="I38" s="2922"/>
      <c r="J38" s="1094"/>
      <c r="K38" s="1437" t="str">
        <f>IF(AND(F38&gt;0,H38=0),Uebersetzung!D26,IF(ROUND(F38,1)&gt;=ROUND(H38,1),IF(EBF&gt;0,Uebersetzung!D25,Uebersetzung!D26),Uebersetzung!D26))</f>
        <v>non</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Valeur limite Minergie pour l'éclairage en kWh/m²</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45" t="str">
        <f>MINERGIE!B119</f>
        <v>Taille min. de l'installation d’autoproduction d’électricité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non</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Protection thermique estivale dans le label Minergie</v>
      </c>
      <c r="C41" s="2472"/>
      <c r="D41" s="2472"/>
      <c r="E41" s="2473"/>
      <c r="F41" s="2480"/>
      <c r="G41" s="2481"/>
      <c r="H41" s="2480"/>
      <c r="I41" s="2481"/>
      <c r="J41" s="200"/>
      <c r="K41" s="1439" t="str">
        <f>IF(Eté!S52,Uebersetzung!D25,Uebersetzung!D26)</f>
        <v>non</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Part d'énergies fossiles</v>
      </c>
      <c r="C42" s="1409"/>
      <c r="D42" s="1409"/>
      <c r="E42" s="1410" t="s">
        <v>2484</v>
      </c>
      <c r="F42" s="2943">
        <f>IF(AND(MINERGIE!AH37&gt;0,H42&gt;0),MINERGIE!AH25,)</f>
        <v>0</v>
      </c>
      <c r="G42" s="2944"/>
      <c r="H42" s="2943">
        <f>IF(MINERGIE!AH14&gt;0,MINERGIE!AH38,)</f>
        <v>0</v>
      </c>
      <c r="I42" s="2944"/>
      <c r="J42" s="1409"/>
      <c r="K42" s="1438" t="str">
        <f>IF(Justificatif!P63=FALSE,Uebersetzung!D26,IF(ROUND(H42,3)&lt;=ROUND(F42,3),Uebersetzung!D25,Uebersetzung!D26))</f>
        <v>non</v>
      </c>
      <c r="L42" s="2488"/>
      <c r="M42" s="2488"/>
      <c r="N42" s="2488"/>
      <c r="O42" s="2488"/>
      <c r="P42" s="2488"/>
      <c r="Q42" s="2488"/>
      <c r="R42" s="2488"/>
      <c r="S42" s="2488"/>
      <c r="T42" s="2488"/>
      <c r="U42" s="2488"/>
      <c r="V42" s="2488"/>
      <c r="W42" s="804"/>
      <c r="X42" s="804"/>
    </row>
    <row r="43" spans="1:24" s="5" customFormat="1" ht="23.1" hidden="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Autres indicateurs</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Emission de GES pendant l'exploitatio en CO2/m2 (Scope 1)</v>
      </c>
      <c r="C45" s="2376"/>
      <c r="D45" s="2376"/>
      <c r="E45" s="2376"/>
      <c r="F45" s="2915" t="str">
        <f>Uebersetzung!D462</f>
        <v>Pas d’exigence</v>
      </c>
      <c r="G45" s="2916"/>
      <c r="H45" s="2915" t="str">
        <f>IF(Justificatif!AL45=0,"0",Justificatif!AL45)</f>
        <v>0</v>
      </c>
      <c r="I45" s="2916"/>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Gaz à effet de serre GES en kg CO2/m2  (Construction)</v>
      </c>
      <c r="C46" s="2388"/>
      <c r="D46" s="2388"/>
      <c r="E46" s="2388"/>
      <c r="F46" s="2917" t="str">
        <f>Uebersetzung!D462</f>
        <v>Pas d’exigence</v>
      </c>
      <c r="G46" s="2918"/>
      <c r="H46" s="2917">
        <f>Construction!H34</f>
        <v>0</v>
      </c>
      <c r="I46" s="2918"/>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Carbone stocké en kg  (Construction)</v>
      </c>
      <c r="C47" s="2390"/>
      <c r="D47" s="2390"/>
      <c r="E47" s="2390"/>
      <c r="F47" s="2919" t="str">
        <f>Uebersetzung!D462</f>
        <v>Pas d’exigence</v>
      </c>
      <c r="G47" s="2920"/>
      <c r="H47" s="2919">
        <f>Construction!H36</f>
        <v>0</v>
      </c>
      <c r="I47" s="2920"/>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Visualisation Efficacité énergétique globale pondérée EEGp</v>
      </c>
      <c r="C49" s="2372"/>
      <c r="D49" s="1006"/>
      <c r="E49" s="1006"/>
      <c r="F49" s="1006"/>
      <c r="G49" s="1006"/>
      <c r="H49" s="1006"/>
      <c r="I49" s="1006"/>
      <c r="J49" s="1006"/>
      <c r="K49" s="2373" t="s">
        <v>2436</v>
      </c>
      <c r="L49" s="2488"/>
      <c r="M49" s="2487" t="str">
        <f>Uebersetzung!D437</f>
        <v>Eau chaude</v>
      </c>
      <c r="N49" s="2491">
        <f>MINERGIE!S18</f>
        <v>0</v>
      </c>
      <c r="O49" s="2487" t="s">
        <v>524</v>
      </c>
      <c r="P49" s="2492" t="str">
        <f>M51</f>
        <v>Electricité d'habitation</v>
      </c>
      <c r="Q49" s="2491">
        <f>MINERGIE!Z47</f>
        <v>0</v>
      </c>
      <c r="R49" s="2491">
        <f t="shared" ref="R49:R51" si="0">N51</f>
        <v>0</v>
      </c>
      <c r="S49" s="2487">
        <v>0</v>
      </c>
      <c r="T49" s="2487"/>
      <c r="U49" s="2488"/>
      <c r="V49" s="2488"/>
      <c r="W49" s="804"/>
      <c r="X49" s="804"/>
    </row>
    <row r="50" spans="1:24" s="5" customFormat="1" ht="19.899999999999999" customHeight="1">
      <c r="A50" s="1518"/>
      <c r="B50" s="2941" t="str">
        <f>M72&amp;"    "</f>
        <v xml:space="preserve">                                  E HWLK,li +
                        Besoins standard électricité
      </v>
      </c>
      <c r="C50" s="2942"/>
      <c r="D50" s="2942"/>
      <c r="E50" s="2942" t="str">
        <f>"             
 "&amp;M70</f>
        <v xml:space="preserve">             
        Valeur de l'objet
 </v>
      </c>
      <c r="F50" s="2942"/>
      <c r="G50" s="2942"/>
      <c r="H50" s="2872" t="str">
        <f>M68</f>
        <v xml:space="preserve"> Production d'électricité</v>
      </c>
      <c r="I50" s="2872"/>
      <c r="J50" s="143"/>
      <c r="K50" s="1398" t="str">
        <f>IF(bern,Uebersetzung!D707,Uebersetzung!D479)&amp;" "&amp;Uebersetzung!D480</f>
        <v>EEGp H</v>
      </c>
      <c r="L50" s="2488"/>
      <c r="M50" s="2487" t="str">
        <f>Uebersetzung!D470</f>
        <v>ventilation et climatisation</v>
      </c>
      <c r="N50" s="2493">
        <f>Justificatif!I52+Justificatif!I53</f>
        <v>0</v>
      </c>
      <c r="O50" s="2487" t="s">
        <v>524</v>
      </c>
      <c r="P50" s="2494" t="str">
        <f>M52</f>
        <v>Eclairage</v>
      </c>
      <c r="Q50" s="2491">
        <f>MINERGIE!Z48</f>
        <v>0</v>
      </c>
      <c r="R50" s="2491">
        <f>K59</f>
        <v>0</v>
      </c>
      <c r="S50" s="2487">
        <v>0</v>
      </c>
      <c r="T50" s="2487"/>
      <c r="U50" s="2488"/>
      <c r="V50" s="2488"/>
      <c r="W50" s="804"/>
      <c r="X50" s="804"/>
    </row>
    <row r="51" spans="1:24" s="5" customFormat="1" ht="24" customHeight="1">
      <c r="A51" s="1518" t="s">
        <v>4763</v>
      </c>
      <c r="B51" s="2941"/>
      <c r="C51" s="2942"/>
      <c r="D51" s="2942"/>
      <c r="E51" s="2942"/>
      <c r="F51" s="2942"/>
      <c r="G51" s="2942"/>
      <c r="H51" s="2872"/>
      <c r="I51" s="2872"/>
      <c r="J51" s="143"/>
      <c r="K51" s="1399">
        <f>N88</f>
        <v>0</v>
      </c>
      <c r="L51" s="2488"/>
      <c r="M51" s="2487" t="str">
        <f>Uebersetzung!D443</f>
        <v>Electricité d'habitation</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41"/>
      <c r="C52" s="2942"/>
      <c r="D52" s="2942"/>
      <c r="E52" s="2482"/>
      <c r="F52" s="2482"/>
      <c r="G52" s="2482"/>
      <c r="H52" s="2478"/>
      <c r="I52" s="2478"/>
      <c r="J52" s="143"/>
      <c r="K52" s="1398" t="str">
        <f>IF(bern,Uebersetzung!D707,Uebersetzung!D479)&amp;" "&amp;Uebersetzung!D481</f>
        <v>EEGp ww</v>
      </c>
      <c r="L52" s="2488"/>
      <c r="M52" s="2487" t="str">
        <f>Uebersetzung!D438</f>
        <v>Eclairage</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Installations techn. du bâtiment</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Appareils</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EEGp LK</v>
      </c>
      <c r="L54" s="2488"/>
      <c r="M54" s="2487" t="str">
        <f>Uebersetzung!D440</f>
        <v>Installations techn. du bâtiment</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EEGp el,wohn.</v>
      </c>
      <c r="L56" s="2488"/>
      <c r="M56" s="2487" t="str">
        <f>Uebersetzung!D441</f>
        <v>Besoins d'énergie finale</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EEGp</v>
      </c>
      <c r="N57" s="2491">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EEGp Bel</v>
      </c>
      <c r="L58" s="2496"/>
      <c r="M58" s="2487" t="str">
        <f>Uebersetzung!D722</f>
        <v>Électricité autoconsommation</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Électricité part injectée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EEGp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Électricité non pris en compte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EEGp AGT</v>
      </c>
      <c r="L62" s="2488"/>
      <c r="M62" s="2487" t="s">
        <v>5190</v>
      </c>
      <c r="N62" s="2487"/>
      <c r="O62" s="2487" t="s">
        <v>524</v>
      </c>
      <c r="P62" s="2487"/>
      <c r="Q62" s="2487">
        <f>IF(AND(wohnen1=FALSE,_neu1,EBF_Zweckneubau&gt;=1000.1),IF(Entrées!F24&gt;0,Entrées!F24*2,INDEX(Standardwerte!$K$142:$K$154,Kategorie1,1))*_EBF1,0)</f>
        <v>0</v>
      </c>
      <c r="R62" s="2487">
        <f>IF(AND(wohnen2=FALSE,_neu2,EBF_Zweckneubau&gt;=1000.1),IF(Entrées!G24&gt;0,Entrées!G24*2,INDEX(Standardwerte!$K$142:$K$154,Kategorie2,1))*_EBF2,0)</f>
        <v>0</v>
      </c>
      <c r="S62" s="2487">
        <f>IF(AND(wohnen3=FALSE,_neu3,EBF_Zweckneubau&gt;=1000.1),IF(Entrées!H24&gt;0,Entrées!H24*2,INDEX(Standardwerte!$K$142:$K$154,Kategorie3,1))*_EBF3,0)</f>
        <v>0</v>
      </c>
      <c r="T62" s="2487">
        <f>IF(AND(wohnen4=FALSE,_neu4,EBF_Zweckneubau&gt;=1000.1),IF(Entrées!I24&gt;0,Entrées!I24*2,INDEX(Standardwerte!$K$142:$K$154,Kategorie4,1))*_EBF4,0)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Potentiel d'optimisation</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IF(bern,M57,Aperçu!M65)</f>
        <v>EEGp</v>
      </c>
      <c r="N65" s="2499">
        <f>H30</f>
        <v>0</v>
      </c>
      <c r="O65" s="2487" t="s">
        <v>524</v>
      </c>
      <c r="P65" s="2487"/>
      <c r="Q65" s="2488"/>
      <c r="R65" s="2488"/>
      <c r="S65" s="2491">
        <f>N65</f>
        <v>0</v>
      </c>
      <c r="T65" s="2491">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Exigences</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Besoins</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EEGp = 0</v>
      </c>
      <c r="L68" s="2488"/>
      <c r="M68" s="2487" t="str">
        <f>Uebersetzung!D720</f>
        <v xml:space="preserve"> Production d'électricité</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45804.647175925929</v>
      </c>
      <c r="C70" s="5"/>
      <c r="D70" s="5"/>
      <c r="E70" s="5"/>
      <c r="F70" s="5"/>
      <c r="G70" s="5"/>
      <c r="H70" s="5"/>
      <c r="I70" s="5"/>
      <c r="J70" s="5"/>
      <c r="K70" s="779" t="str">
        <f>Entrées!K47</f>
        <v xml:space="preserve"> /  /  /  /  /  / </v>
      </c>
      <c r="L70" s="2500"/>
      <c r="M70" s="2487" t="str">
        <f>Uebersetzung!D472</f>
        <v xml:space="preserve">       Valeur de l'objet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Besoins standard électricité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Chauffage</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Besoins</v>
      </c>
      <c r="N87" s="2487"/>
      <c r="O87" s="2487"/>
      <c r="P87" s="2492" t="str">
        <f>M49</f>
        <v>Eau chaude</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Chauffage</v>
      </c>
      <c r="N88" s="2491">
        <f>MINERGIE!S103</f>
        <v>0</v>
      </c>
      <c r="O88" s="2487" t="s">
        <v>524</v>
      </c>
      <c r="P88" s="2492" t="str">
        <f>M50</f>
        <v>ventilation et climatisation</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Entrées!K1</f>
        <v>Formulaire EN-101 BE, v2.95</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IF(Entrées!$I$14="",1,VLOOKUP(Entrées!$I$14,Standardwerte!$A$7:$G$47,7,FALSE))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IF(AND(Kategorie1=13,BadMisch),0,Entrées!O2)</f>
        <v>0</v>
      </c>
      <c r="L5" s="293" t="s">
        <v>169</v>
      </c>
      <c r="M5" s="296">
        <f>IF(Zonen&gt;1,IF(AND(Kategorie2=13,BadMisch),0,Entrées!P2),0)</f>
        <v>0</v>
      </c>
      <c r="N5" s="293" t="s">
        <v>170</v>
      </c>
      <c r="O5" s="296">
        <f>IF(Zonen&gt;2,IF(AND(Kategorie3=13,BadMisch),0,Entrées!Q2),0)</f>
        <v>0</v>
      </c>
      <c r="P5" s="293" t="s">
        <v>171</v>
      </c>
      <c r="Q5" s="296">
        <f>IF(Zonen&gt;3,IF(AND(Kategorie4=13,BadMisch),0,Entrées!R2),0)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Habitat collectif</v>
      </c>
      <c r="AI5" s="141" t="str">
        <f t="shared" ref="AI5:AS5" si="0">INDEX($I$9:$I$21,AI4,1)</f>
        <v>Habitat individuel</v>
      </c>
      <c r="AJ5" s="141" t="str">
        <f t="shared" si="0"/>
        <v>Administration</v>
      </c>
      <c r="AK5" s="141" t="str">
        <f t="shared" si="0"/>
        <v>Ecole</v>
      </c>
      <c r="AL5" s="141" t="str">
        <f t="shared" si="0"/>
        <v>Commerce</v>
      </c>
      <c r="AM5" s="141" t="str">
        <f t="shared" si="0"/>
        <v>Restaurant</v>
      </c>
      <c r="AN5" s="141" t="str">
        <f t="shared" si="0"/>
        <v>Lieu de rassemblement</v>
      </c>
      <c r="AO5" s="141" t="str">
        <f t="shared" si="0"/>
        <v>Hôpital</v>
      </c>
      <c r="AP5" s="141" t="str">
        <f t="shared" si="0"/>
        <v>Industrie</v>
      </c>
      <c r="AQ5" s="141" t="str">
        <f t="shared" si="0"/>
        <v>Entrepôt</v>
      </c>
      <c r="AR5" s="141" t="str">
        <f t="shared" si="0"/>
        <v>Installation sportive</v>
      </c>
      <c r="AS5" s="320" t="str">
        <f t="shared" si="0"/>
        <v>Piscine couverte</v>
      </c>
      <c r="AT5" s="323" t="s">
        <v>650</v>
      </c>
      <c r="AU5" s="323" t="s">
        <v>651</v>
      </c>
      <c r="AV5" s="322" t="s">
        <v>555</v>
      </c>
      <c r="AW5" s="140" t="s">
        <v>556</v>
      </c>
      <c r="AX5" s="140" t="s">
        <v>234</v>
      </c>
      <c r="AY5" s="140" t="s">
        <v>235</v>
      </c>
      <c r="AZ5" s="140" t="s">
        <v>212</v>
      </c>
      <c r="BA5" s="513"/>
      <c r="BB5" s="88">
        <v>2</v>
      </c>
      <c r="BC5" s="522" t="str">
        <f t="shared" ref="BC5:BC32" si="1">A98</f>
        <v>Argovie</v>
      </c>
      <c r="BD5" s="284" t="b">
        <v>1</v>
      </c>
      <c r="BE5" s="88">
        <v>2</v>
      </c>
    </row>
    <row r="6" spans="1:57" ht="15" customHeight="1">
      <c r="A6" s="85"/>
      <c r="B6" s="81"/>
      <c r="C6" s="81" t="s">
        <v>250</v>
      </c>
      <c r="D6" s="82" t="s">
        <v>213</v>
      </c>
      <c r="E6" s="81" t="s">
        <v>251</v>
      </c>
      <c r="F6" s="86" t="s">
        <v>206</v>
      </c>
      <c r="G6" s="562"/>
      <c r="I6" s="325"/>
      <c r="J6" s="294" t="s">
        <v>172</v>
      </c>
      <c r="K6" s="295">
        <f>IF(AND(Kategorie1=13,BadMisch),0,Entrées!F91)</f>
        <v>0</v>
      </c>
      <c r="L6" s="294" t="s">
        <v>173</v>
      </c>
      <c r="M6" s="295">
        <f>IF(Zonen&gt;1,IF(AND(Kategorie2=13,BadMisch),0,Entrées!G91),0)</f>
        <v>0</v>
      </c>
      <c r="N6" s="294" t="s">
        <v>174</v>
      </c>
      <c r="O6" s="295">
        <f>IF(Zonen&gt;2,IF(AND(Kategorie3=13,BadMisch),0,Entrées!H91),0)</f>
        <v>0</v>
      </c>
      <c r="P6" s="294" t="s">
        <v>175</v>
      </c>
      <c r="Q6" s="295">
        <f>IF(Zonen&gt;3,IF(AND(Kategorie4=13,BadMisch),0,Entrées!I91),0)</f>
        <v>0</v>
      </c>
      <c r="R6" s="273" t="b">
        <f>OR(WWBonus1,WWBonus2,WWBonus3,WWBonus4)</f>
        <v>0</v>
      </c>
      <c r="S6" s="273"/>
      <c r="AE6" s="1721">
        <v>1</v>
      </c>
      <c r="AF6" s="1722" t="str">
        <f>Uebersetzung!D389</f>
        <v>Etanchéité de la surface de l'enveloppe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Concept d'étanchéité annexé?</v>
      </c>
      <c r="BB6" s="120">
        <v>3</v>
      </c>
      <c r="BC6" s="523" t="str">
        <f t="shared" si="1"/>
        <v>Appenzell Rhodes-Intérieures</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Etanchéité de la surface de l'enveloppe, rénovation</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Rhodes-Extérieures</v>
      </c>
      <c r="BD7" s="168" t="b">
        <v>1</v>
      </c>
      <c r="BE7" s="120">
        <v>4</v>
      </c>
    </row>
    <row r="8" spans="1:57">
      <c r="A8" s="520" t="str">
        <f t="shared" ref="A8:A13" si="3">IF(Kanton=29,A55,G128)</f>
        <v>Bern  Liebefeld</v>
      </c>
      <c r="B8" s="38" t="str">
        <f>IF(Kanton=29,B55,IF($B$96&gt;0,INDEX(B$54:B$94,$B$96,1),""))</f>
        <v>BE</v>
      </c>
      <c r="C8" s="38">
        <f>IF(Kanton=29,C55,IF($B$96&gt;0,INDEX(C$54:C$94,$B$96,1),""))</f>
        <v>4</v>
      </c>
      <c r="D8" s="38">
        <f>IF(Kanton=29,D55,IF($B$96&gt;0,INDEX(D$54:D$94,$B$96,1),""))</f>
        <v>0</v>
      </c>
      <c r="E8" s="38">
        <f>IF(Kanton=29,E55,IF($B$96&gt;0,INDEX(E$54:E$94,$B$96,1),""))</f>
        <v>565</v>
      </c>
      <c r="F8" s="38">
        <f>IF(Kanton=29,F55,IF($B$96&gt;0,INDEX(F$54:F$94,$B$96,1),""))</f>
        <v>9.1</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Eau chaude</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Recours à 20% d'énergies renouvelables?</v>
      </c>
      <c r="BB8" s="120">
        <v>5</v>
      </c>
      <c r="BC8" s="523" t="str">
        <f t="shared" si="1"/>
        <v>Berne</v>
      </c>
      <c r="BD8" s="168" t="b">
        <v>1</v>
      </c>
      <c r="BE8" s="120">
        <v>5</v>
      </c>
    </row>
    <row r="9" spans="1:57">
      <c r="A9" s="520" t="str">
        <f t="shared" si="3"/>
        <v>Adelboden</v>
      </c>
      <c r="B9" s="38" t="str">
        <f>IF(Kanton=29,B56,IF($C$96&gt;0,INDEX(B$54:B$94,$C$96,1),""))</f>
        <v>BE</v>
      </c>
      <c r="C9" s="38">
        <f>IF(Kanton=29,C56,IF($C$96&gt;0,INDEX(C$54:C$94,$C$96,1),""))</f>
        <v>8</v>
      </c>
      <c r="D9" s="38">
        <f>IF(Kanton=29,D56,IF($C$96&gt;0,INDEX(D$54:D$94,$C$96,1),""))</f>
        <v>0</v>
      </c>
      <c r="E9" s="38">
        <f>IF(Kanton=29,E56,IF($C$96&gt;0,INDEX(E$54:E$94,$C$96,1),""))</f>
        <v>1320</v>
      </c>
      <c r="F9" s="38">
        <f>IF(Kanton=29,F56,IF($C$96&gt;0,INDEX(F$54:F$94,$C$96,1),""))</f>
        <v>6.1</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Bâle-Campagne</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Habitat collectif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Rejets thermiques</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Production de rejets thermiques?</v>
      </c>
      <c r="BB10" s="120">
        <v>7</v>
      </c>
      <c r="BC10" s="523" t="str">
        <f t="shared" si="1"/>
        <v>Bâle-Ville</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Habitat individuel</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Administration</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Exploitation optimisée piscine couverte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RC avec PAC sur ventilation, RC des eaux de piscine</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Ecole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Glaris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Commerce</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Grisons</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Lieu de rassemblement</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Lucerne</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Hôpital</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Entrepôt</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Installation sportive</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St-Gall</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Piscine couverte</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85"/>
      <c r="AW21" s="2985"/>
      <c r="AY21" s="2"/>
      <c r="BB21" s="120">
        <v>18</v>
      </c>
      <c r="BC21" s="523" t="str">
        <f t="shared" si="1"/>
        <v>Schaffhouse</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Soleure</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74" t="s">
        <v>3621</v>
      </c>
      <c r="V23" s="2975"/>
      <c r="W23" s="2975"/>
      <c r="X23" s="2976"/>
      <c r="AE23" s="88" t="str">
        <f>""</f>
        <v/>
      </c>
      <c r="AF23" s="562">
        <v>1</v>
      </c>
      <c r="AG23" s="485">
        <f>IF(Entrées!$F$22="",1,VLOOKUP(Entrées!$F$22,$AE$23:$AF$29,2,FALSE))</f>
        <v>1</v>
      </c>
      <c r="AH23" s="631" t="s">
        <v>555</v>
      </c>
      <c r="AI23" s="36" t="str">
        <f>Q40</f>
        <v xml:space="preserve"> </v>
      </c>
      <c r="AJ23" s="35"/>
      <c r="AK23" s="35"/>
      <c r="AL23" s="115"/>
      <c r="AM23" s="27">
        <v>1</v>
      </c>
      <c r="BB23" s="120">
        <v>20</v>
      </c>
      <c r="BC23" s="523" t="str">
        <f t="shared" si="1"/>
        <v>Schwytz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IF(Entrées!F16="",1,VLOOKUP(Entrées!F16,Standardwerte!I9:T21,12,FALSE))</f>
        <v>1</v>
      </c>
      <c r="O24" s="260" t="s">
        <v>633</v>
      </c>
      <c r="P24" s="484">
        <f>IF(R24=0,1,R24)</f>
        <v>1</v>
      </c>
      <c r="Q24" s="261" t="str">
        <f>M4</f>
        <v/>
      </c>
      <c r="R24" s="483">
        <f>IF(Entrées!G16="",1,VLOOKUP(Entrées!G16,Standardwerte!I9:T21,12,FALSE))</f>
        <v>1</v>
      </c>
      <c r="T24" s="243" t="str">
        <f>""</f>
        <v/>
      </c>
      <c r="U24" s="1661"/>
      <c r="V24" s="842"/>
      <c r="W24" s="842"/>
      <c r="X24" s="1445"/>
      <c r="AE24" s="120" t="s">
        <v>518</v>
      </c>
      <c r="AF24" s="562">
        <v>2</v>
      </c>
      <c r="AG24" s="486">
        <f>IF(Entrées!G22="",1,VLOOKUP(Entrées!G22,$AE$23:$AF$29,2,FALSE))</f>
        <v>1</v>
      </c>
      <c r="AH24" s="632" t="s">
        <v>556</v>
      </c>
      <c r="AI24" s="43" t="str">
        <f>Q41</f>
        <v>oui</v>
      </c>
      <c r="AJ24" s="42"/>
      <c r="AK24" s="42"/>
      <c r="AL24" s="53"/>
      <c r="AM24" s="27">
        <v>2</v>
      </c>
      <c r="BB24" s="120">
        <v>21</v>
      </c>
      <c r="BC24" s="523" t="str">
        <f t="shared" si="1"/>
        <v>Thurgovie</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non</v>
      </c>
      <c r="K25" s="252" t="s">
        <v>478</v>
      </c>
      <c r="L25" s="259" t="str">
        <f>INDEX($O$35:$O$46,Lüftung1,1)</f>
        <v/>
      </c>
      <c r="M25" s="836" t="s">
        <v>819</v>
      </c>
      <c r="N25" s="845">
        <f>IF(Entrées!F35="",1,VLOOKUP(Entrées!F35,$AB$48:$AC$49,2,FALSE))</f>
        <v>1</v>
      </c>
      <c r="O25" s="252" t="s">
        <v>478</v>
      </c>
      <c r="P25" s="259" t="str">
        <f>INDEX($O$35:$O$46,Lüftung2,1)</f>
        <v/>
      </c>
      <c r="Q25" s="836" t="s">
        <v>819</v>
      </c>
      <c r="R25" s="845">
        <f>IF(Entrées!G35="",1,VLOOKUP(Entrées!G35,$AB$48:$AC$49,2,FALSE))</f>
        <v>1</v>
      </c>
      <c r="T25" s="836" t="str">
        <f>O36</f>
        <v>Pas de ventilation</v>
      </c>
      <c r="U25" s="837">
        <v>0</v>
      </c>
      <c r="V25" s="840">
        <v>0</v>
      </c>
      <c r="W25" s="840">
        <v>0</v>
      </c>
      <c r="X25" s="843">
        <v>0</v>
      </c>
      <c r="AE25" s="120" t="s">
        <v>519</v>
      </c>
      <c r="AF25" s="562">
        <v>3</v>
      </c>
      <c r="AG25" s="486">
        <f>IF(Entrées!$H$22="",1,VLOOKUP(Entrées!$H$22,$AE$23:$AF$29,2,FALSE))</f>
        <v>1</v>
      </c>
      <c r="AH25" s="632" t="s">
        <v>234</v>
      </c>
      <c r="AI25" s="43" t="str">
        <f>Q42</f>
        <v>non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oui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FOU/REP sans RC</v>
      </c>
      <c r="U26" s="838">
        <f>0.24+0.7</f>
        <v>0.94</v>
      </c>
      <c r="V26" s="839">
        <f>0.24+0.7</f>
        <v>0.94</v>
      </c>
      <c r="W26" s="839">
        <f>0.18+0.7</f>
        <v>0.87999999999999989</v>
      </c>
      <c r="X26" s="844">
        <f>0.18+0.7</f>
        <v>0.87999999999999989</v>
      </c>
      <c r="AE26" s="120" t="s">
        <v>349</v>
      </c>
      <c r="AF26" s="562">
        <v>4</v>
      </c>
      <c r="AG26" s="487">
        <f>IF(Entrées!$I$22="",1,VLOOKUP(Entrées!$I$22,$AE$23:$AF$29,2,FALSE))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IF(Entrées!$F$30="",1,VLOOKUP(Entrées!$F$30,AG39:AO41,9,FALSE))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Double flux</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IF(Zonen&gt;1,IF(Entrées!$G$30="",1,VLOOKUP(Entrées!$G$30,AI39:AO41,7,FALSE)),1)</f>
        <v>1</v>
      </c>
      <c r="K28" s="260" t="s">
        <v>633</v>
      </c>
      <c r="L28" s="484">
        <f>IF(N28=0,1,N28)</f>
        <v>1</v>
      </c>
      <c r="M28" s="261" t="str">
        <f>O4</f>
        <v/>
      </c>
      <c r="N28" s="482">
        <f>IF(Entrées!H16="",1,VLOOKUP(Entrées!H16,Standardwerte!I9:T21,12,FALSE))</f>
        <v>1</v>
      </c>
      <c r="O28" s="260" t="s">
        <v>633</v>
      </c>
      <c r="P28" s="484">
        <f>IF(R28=0,1,R28)</f>
        <v>1</v>
      </c>
      <c r="Q28" s="261" t="str">
        <f>Q4</f>
        <v/>
      </c>
      <c r="R28" s="483">
        <f>IF(Entrées!I16="",1,VLOOKUP(Entrées!I16,Standardwerte!I9:T21,12,FALSE))</f>
        <v>1</v>
      </c>
      <c r="T28" s="836" t="str">
        <f t="shared" si="10"/>
        <v>FOU/REP+PAC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Valais</v>
      </c>
      <c r="BD28" s="168" t="b">
        <v>1</v>
      </c>
      <c r="BE28" s="120">
        <v>25</v>
      </c>
      <c r="BI28" s="2989" t="s">
        <v>180</v>
      </c>
      <c r="BJ28" s="2990"/>
      <c r="BK28" s="528">
        <f>BN28</f>
        <v>8</v>
      </c>
      <c r="BL28" s="127" t="s">
        <v>661</v>
      </c>
      <c r="BM28" s="1196" t="b">
        <f>IF(BN28=3,TRUE,FALSE)</f>
        <v>0</v>
      </c>
      <c r="BN28" s="640">
        <f>AK63</f>
        <v>8</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IF(Zonen&gt;2,IF(Entrées!$H$30="",1,VLOOKUP(Entrées!$H$30,AK39:AO41,5,FALSE)),1)</f>
        <v>1</v>
      </c>
      <c r="K29" s="252" t="s">
        <v>478</v>
      </c>
      <c r="L29" s="259" t="str">
        <f>INDEX($O$35:$O$46,Lüftung3,1)</f>
        <v/>
      </c>
      <c r="M29" s="836" t="s">
        <v>819</v>
      </c>
      <c r="N29" s="845">
        <f>IF(Entrées!H35="",1,VLOOKUP(Entrées!H35,$AB$48:$AC$49,2,FALSE))</f>
        <v>1</v>
      </c>
      <c r="O29" s="252" t="s">
        <v>478</v>
      </c>
      <c r="P29" s="259" t="str">
        <f>INDEX($O$35:$O$46,Lüftung4,1)</f>
        <v/>
      </c>
      <c r="Q29" s="836" t="s">
        <v>819</v>
      </c>
      <c r="R29" s="845">
        <f>IF(Entrées!I35="",1,VLOOKUP(Entrées!I35,$AB$48:$AC$49,2,FALSE))</f>
        <v>1</v>
      </c>
      <c r="T29" s="836" t="str">
        <f t="shared" si="10"/>
        <v>REP</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Zoug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IF(Zonen&gt;3,IF(Entrées!$I$30="",1,VLOOKUP(Entrées!$I$30,AM39:AO41,3,FALSE)),1)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REP+PAC</v>
      </c>
      <c r="U30" s="838">
        <f>0.18+0.5</f>
        <v>0.67999999999999994</v>
      </c>
      <c r="V30" s="839">
        <f>0.18+0.5</f>
        <v>0.67999999999999994</v>
      </c>
      <c r="W30" s="839">
        <f>0.18+0.5</f>
        <v>0.67999999999999994</v>
      </c>
      <c r="X30" s="844">
        <f>0.18+0.5</f>
        <v>0.67999999999999994</v>
      </c>
      <c r="BB30" s="120">
        <v>27</v>
      </c>
      <c r="BC30" s="523" t="str">
        <f t="shared" si="1"/>
        <v>Zurich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Par Local</v>
      </c>
      <c r="U31" s="838">
        <f>0.7</f>
        <v>0.7</v>
      </c>
      <c r="V31" s="839">
        <f>0.7</f>
        <v>0.7</v>
      </c>
      <c r="W31" s="839">
        <f>0.7</f>
        <v>0.7</v>
      </c>
      <c r="X31" s="844">
        <f>0.7</f>
        <v>0.7</v>
      </c>
      <c r="AE31" s="251" t="s">
        <v>680</v>
      </c>
      <c r="BB31" s="120">
        <v>28</v>
      </c>
      <c r="BC31" s="523" t="str">
        <f t="shared" si="1"/>
        <v>Principauté du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Fen. auto</v>
      </c>
      <c r="U32" s="1818">
        <f>0.012</f>
        <v>1.2E-2</v>
      </c>
      <c r="V32" s="1817">
        <f>0.012</f>
        <v>1.2E-2</v>
      </c>
      <c r="W32" s="1817">
        <f>0.032</f>
        <v>3.2000000000000001E-2</v>
      </c>
      <c r="X32" s="1819">
        <f>0.032</f>
        <v>3.2000000000000001E-2</v>
      </c>
      <c r="AV32" s="251"/>
      <c r="BB32" s="142">
        <v>29</v>
      </c>
      <c r="BC32" s="524" t="str">
        <f t="shared" si="1"/>
        <v>spécial</v>
      </c>
      <c r="BD32" s="167" t="b">
        <v>1</v>
      </c>
      <c r="BE32" s="142">
        <v>29</v>
      </c>
      <c r="BI32" s="382"/>
      <c r="BJ32" s="42"/>
      <c r="BL32" s="312" t="e">
        <f>IF(BN28&gt;0,INDEX(BL29:BL31,BN28,1),BL29)</f>
        <v>#REF!</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 de transfert d’air</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7" t="s">
        <v>162</v>
      </c>
      <c r="AH33" s="2978"/>
      <c r="AI33" s="2977" t="s">
        <v>163</v>
      </c>
      <c r="AJ33" s="2978"/>
      <c r="AK33" s="2977" t="s">
        <v>164</v>
      </c>
      <c r="AL33" s="2978"/>
      <c r="AM33" s="2977" t="s">
        <v>165</v>
      </c>
      <c r="AN33" s="2978"/>
      <c r="BB33" s="517">
        <f>IF(Entrées!I13="",1,VLOOKUP(Entrées!I13,Standardwerte!BC4:BE32,3,FALSE))</f>
        <v>5</v>
      </c>
      <c r="BC33" s="306" t="str">
        <f>IF(Kanton&gt;0,INDEX(BC4:BC32,Kanton,1),"")</f>
        <v>Berne</v>
      </c>
      <c r="BD33" s="512" t="b">
        <f>IF(Kanton&gt;0,INDEX(BD4:BD32,Kanton,1),TRUE)</f>
        <v>1</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Vent. de base</v>
      </c>
      <c r="U34" s="838">
        <f>0.24+0.7</f>
        <v>0.94</v>
      </c>
      <c r="V34" s="839">
        <f>0.24+0.7</f>
        <v>0.94</v>
      </c>
      <c r="W34" s="839">
        <f>0.18+0.7</f>
        <v>0.87999999999999989</v>
      </c>
      <c r="X34" s="844">
        <f>0.18+0.7</f>
        <v>0.87999999999999989</v>
      </c>
      <c r="Y34" s="1808"/>
      <c r="Z34" s="1820"/>
      <c r="AA34" s="2975" t="s">
        <v>816</v>
      </c>
      <c r="AB34" s="2975"/>
      <c r="AC34" s="2976"/>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IF(Entrées!F$31="",1,VLOOKUP(Entrées!F$31,P68:T78,5,FALSE))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47" t="b">
        <f>AND(Kategorie1&lt;=5,EBFo1&lt;=INDEX($U$9:$U$21,Kategorie1,1))</f>
        <v>1</v>
      </c>
      <c r="AH35" s="2748"/>
      <c r="AI35" s="2747" t="b">
        <f>AND(Kategorie2&lt;=5,EBFo2&lt;=INDEX($U$9:$U$21,Kategorie2,1))</f>
        <v>1</v>
      </c>
      <c r="AJ35" s="2748"/>
      <c r="AK35" s="2747" t="b">
        <f>AND(Kategorie3&lt;=5,EBFo3&lt;=INDEX($U$9:$U$21,Kategorie3,1))</f>
        <v>1</v>
      </c>
      <c r="AL35" s="2748"/>
      <c r="AM35" s="2747" t="b">
        <f>AND(Kategorie4&lt;=5,EBFo4&lt;=INDEX($U$9:$U$21,Kategorie4,1))</f>
        <v>1</v>
      </c>
      <c r="AN35" s="2748"/>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Pas de ventilation</v>
      </c>
      <c r="P36" s="43" t="s">
        <v>335</v>
      </c>
      <c r="Q36" s="742">
        <f>IF(Entrées!G$31="",1,VLOOKUP(Entrées!G$31,Q68:T78,4,FALSE))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47" t="b">
        <f>Kategorie1&gt;1</f>
        <v>0</v>
      </c>
      <c r="AH36" s="2748"/>
      <c r="AI36" s="2747" t="b">
        <f>Kategorie2&gt;1</f>
        <v>0</v>
      </c>
      <c r="AJ36" s="2748"/>
      <c r="AK36" s="2747" t="b">
        <f>Kategorie3&gt;1</f>
        <v>0</v>
      </c>
      <c r="AL36" s="2748"/>
      <c r="AM36" s="2747" t="b">
        <f>Kategorie4&gt;1</f>
        <v>0</v>
      </c>
      <c r="AN36" s="2748"/>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FOU/REP sans RC</v>
      </c>
      <c r="P37" s="43" t="s">
        <v>724</v>
      </c>
      <c r="Q37" s="742">
        <f>IF(Entrées!H$31="",1,VLOOKUP(Entrées!H$31,R68:T78,3,FALSE))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47" t="b">
        <f>Kategorie1&lt;=5</f>
        <v>1</v>
      </c>
      <c r="AH37" s="2748"/>
      <c r="AI37" s="2747" t="b">
        <f>Kategorie2&lt;=5</f>
        <v>1</v>
      </c>
      <c r="AJ37" s="2748"/>
      <c r="AK37" s="2747" t="b">
        <f>Kategorie3&lt;=5</f>
        <v>1</v>
      </c>
      <c r="AL37" s="2748"/>
      <c r="AM37" s="2747" t="b">
        <f>Kategorie4&lt;=5</f>
        <v>1</v>
      </c>
      <c r="AN37" s="2748"/>
      <c r="BB37" s="43">
        <v>2</v>
      </c>
      <c r="BC37" s="53" t="str">
        <f>Uebersetzung!D82</f>
        <v>Habitat collectif</v>
      </c>
      <c r="BD37" s="43" t="str">
        <f>BC37</f>
        <v>Habitat collectif</v>
      </c>
      <c r="BE37" s="43" t="str">
        <f>BD37</f>
        <v>Habitat collectif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Double flux</v>
      </c>
      <c r="P38" s="43" t="s">
        <v>197</v>
      </c>
      <c r="Q38" s="639">
        <f>IF(Entrées!I$31="",1,VLOOKUP(Entrées!I$31,S68:T78,2,FALSE))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86" t="b">
        <f>AND(AG36,AG35)</f>
        <v>0</v>
      </c>
      <c r="AH38" s="2987"/>
      <c r="AI38" s="2747" t="b">
        <f>AND(AI36,AI35,Zonen&gt;1)</f>
        <v>0</v>
      </c>
      <c r="AJ38" s="2748"/>
      <c r="AK38" s="2747" t="b">
        <f>AND(AK36,AK35,Zonen&gt;2)</f>
        <v>0</v>
      </c>
      <c r="AL38" s="2748"/>
      <c r="AM38" s="2747" t="b">
        <f>AND(AM36,AM35,Zonen&gt;3)</f>
        <v>0</v>
      </c>
      <c r="AN38" s="2748"/>
      <c r="BB38" s="43">
        <v>3</v>
      </c>
      <c r="BC38" s="53" t="str">
        <f>Uebersetzung!D83</f>
        <v>Habitat individuel</v>
      </c>
      <c r="BD38" s="43" t="str">
        <f>BC38</f>
        <v>Habitat individuel</v>
      </c>
      <c r="BE38" s="43" t="str">
        <f>BD38</f>
        <v>Habitat individuel</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FOU/REP+PAC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Administration</v>
      </c>
      <c r="BD39" s="43" t="str">
        <f>BC39</f>
        <v>Administration</v>
      </c>
      <c r="BE39" s="43" t="str">
        <f t="shared" ref="BE39:BE47" si="13">BD39</f>
        <v>Administration</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REP</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donnée manquante</v>
      </c>
      <c r="AG40" s="957" t="str">
        <f>AA49</f>
        <v>non</v>
      </c>
      <c r="AH40" s="956"/>
      <c r="AI40" s="957" t="str">
        <f>AA49</f>
        <v>non</v>
      </c>
      <c r="AJ40" s="956"/>
      <c r="AK40" s="957" t="str">
        <f>AA49</f>
        <v>non</v>
      </c>
      <c r="AL40" s="956"/>
      <c r="AM40" s="957" t="str">
        <f>AA49</f>
        <v>non</v>
      </c>
      <c r="AN40" s="956"/>
      <c r="AO40" s="27">
        <v>2</v>
      </c>
      <c r="BB40" s="43">
        <v>5</v>
      </c>
      <c r="BC40" s="53" t="str">
        <f>Uebersetzung!D85</f>
        <v>Ecole</v>
      </c>
      <c r="BD40" s="43" t="str">
        <f>BC40</f>
        <v>Ecole</v>
      </c>
      <c r="BE40" s="43" t="str">
        <f t="shared" si="13"/>
        <v>Ecole</v>
      </c>
      <c r="BF40" s="53"/>
      <c r="BL40" s="28"/>
      <c r="BM40" s="63"/>
      <c r="BN40" s="63"/>
      <c r="BO40" s="309" t="s">
        <v>663</v>
      </c>
      <c r="BP40" s="307" t="s">
        <v>114</v>
      </c>
      <c r="BQ40" s="2983" t="s">
        <v>1694</v>
      </c>
      <c r="BR40" s="2984"/>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REP+PAC</v>
      </c>
      <c r="P41" s="56"/>
      <c r="Q41" s="44" t="str">
        <f>AA48</f>
        <v>oui</v>
      </c>
      <c r="R41" s="44" t="str">
        <f>AA48</f>
        <v>oui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donnée erronée</v>
      </c>
      <c r="AG41" s="962" t="str">
        <f>IF(Standardwerte!AG38,IF(Standardwerte!AG37,AA48,AA49),AA49)</f>
        <v>non</v>
      </c>
      <c r="AH41" s="958"/>
      <c r="AI41" s="49" t="str">
        <f>IF(Standardwerte!AI38,IF(Standardwerte!AI37,AA48,AA49),AA49)</f>
        <v>non</v>
      </c>
      <c r="AJ41" s="955"/>
      <c r="AK41" s="962" t="str">
        <f>IF(Standardwerte!AK38,IF(Standardwerte!AK37,AA48,AA49),AA49)</f>
        <v>non</v>
      </c>
      <c r="AL41" s="956"/>
      <c r="AM41" s="962" t="str">
        <f>IF(Standardwerte!AM38,IF(Standardwerte!AM37,AA48,AA49),AA49)</f>
        <v>non</v>
      </c>
      <c r="AN41" s="956"/>
      <c r="AO41" s="27">
        <v>3</v>
      </c>
      <c r="BB41" s="43">
        <v>6</v>
      </c>
      <c r="BC41" s="53" t="str">
        <f>Uebersetzung!D86</f>
        <v>Commerce</v>
      </c>
      <c r="BD41" s="43" t="str">
        <f>BC41</f>
        <v>Commerce</v>
      </c>
      <c r="BE41" s="43" t="str">
        <f t="shared" si="13"/>
        <v>Commerce</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Par Local</v>
      </c>
      <c r="P42" s="110" t="s">
        <v>199</v>
      </c>
      <c r="Q42" s="111" t="str">
        <f>AA49</f>
        <v>non</v>
      </c>
      <c r="R42" s="111" t="str">
        <f>AA49</f>
        <v>non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Taux de couverture &lt;&gt; 100%</v>
      </c>
      <c r="AG42" s="2988"/>
      <c r="AH42" s="2988"/>
      <c r="AI42" s="2979"/>
      <c r="AJ42" s="2980"/>
      <c r="AK42" s="2979"/>
      <c r="AL42" s="2980"/>
      <c r="AM42" s="2979"/>
      <c r="AN42" s="2980"/>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Fen. auto</v>
      </c>
      <c r="P43" s="57" t="s">
        <v>52</v>
      </c>
      <c r="Q43" s="156">
        <f>IF(R43=0,1,R43)</f>
        <v>1</v>
      </c>
      <c r="R43" s="480">
        <f>IF(Entrées!$F$21="",1,VLOOKUP(Entrées!$F$21,AI23:AM25,5,FALSE))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88"/>
      <c r="AH43" s="2988"/>
      <c r="AI43" s="2979"/>
      <c r="AJ43" s="2980"/>
      <c r="AK43" s="2979"/>
      <c r="AL43" s="2980"/>
      <c r="AM43" s="2979"/>
      <c r="AN43" s="2980"/>
      <c r="AO43" s="27">
        <v>5</v>
      </c>
      <c r="BB43" s="43">
        <v>8</v>
      </c>
      <c r="BC43" s="53" t="str">
        <f>Uebersetzung!D88</f>
        <v>Lieu de rassemblement</v>
      </c>
      <c r="BD43" s="43" t="str">
        <f t="shared" si="14"/>
        <v>Lieu de rassemblement</v>
      </c>
      <c r="BE43" s="43" t="str">
        <f t="shared" si="13"/>
        <v>Lieu de rassemblement</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Vent. de transfert d’air</v>
      </c>
      <c r="P44" s="57" t="s">
        <v>443</v>
      </c>
      <c r="Q44" s="156">
        <f>IF(R44=0,1,R44)</f>
        <v>1</v>
      </c>
      <c r="R44" s="480">
        <f>IF(Entrées!$G$21="",1,VLOOKUP(Entrées!$G$21,AI23:AM25,5,FALSE))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88"/>
      <c r="AH44" s="2988"/>
      <c r="AI44" s="2979"/>
      <c r="AJ44" s="2980"/>
      <c r="AK44" s="2979"/>
      <c r="AL44" s="2980"/>
      <c r="AM44" s="2979"/>
      <c r="AN44" s="2980"/>
      <c r="AO44" s="27">
        <v>6</v>
      </c>
      <c r="BB44" s="43">
        <v>9</v>
      </c>
      <c r="BC44" s="53" t="str">
        <f>Uebersetzung!D89</f>
        <v>Hôpital</v>
      </c>
      <c r="BD44" s="43" t="str">
        <f t="shared" si="14"/>
        <v>Hôpital</v>
      </c>
      <c r="BE44" s="43" t="str">
        <f t="shared" si="13"/>
        <v>Hôpital</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Vent. de base</v>
      </c>
      <c r="P45" s="57" t="s">
        <v>444</v>
      </c>
      <c r="Q45" s="156">
        <f>IF(R45=0,1,R45)</f>
        <v>1</v>
      </c>
      <c r="R45" s="480">
        <f>IF(Entrées!$H$21="",1,VLOOKUP(Entrées!$H$21,AI23:AM25,5,FALSE))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86"/>
      <c r="AH45" s="2987"/>
      <c r="AI45" s="2981"/>
      <c r="AJ45" s="2982"/>
      <c r="AK45" s="2981"/>
      <c r="AL45" s="2982"/>
      <c r="AM45" s="2981"/>
      <c r="AN45" s="2982"/>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IF(Entrées!$I$21="",1,VLOOKUP(Entrées!$I$21,AI23:AM25,5,FALSE))</f>
        <v>1</v>
      </c>
      <c r="S46" s="94" t="str">
        <f>IF(Neubau4=2,"Neubau",IF(Neubau4=3,"Altbau",""))</f>
        <v/>
      </c>
      <c r="T46" s="1721"/>
      <c r="U46" s="811"/>
      <c r="V46" s="820"/>
      <c r="W46" s="820"/>
      <c r="X46" s="1619"/>
      <c r="AA46" s="27" t="b">
        <f>(AJ58=AJ53)</f>
        <v>0</v>
      </c>
      <c r="AB46" s="1821" t="s">
        <v>818</v>
      </c>
      <c r="AD46" s="27">
        <v>1</v>
      </c>
      <c r="BB46" s="43">
        <v>11</v>
      </c>
      <c r="BC46" s="53" t="str">
        <f>Uebersetzung!D91</f>
        <v>Entrepôt</v>
      </c>
      <c r="BD46" s="43" t="str">
        <f>BC46</f>
        <v>Entrepôt</v>
      </c>
      <c r="BE46" s="43" t="str">
        <f t="shared" si="13"/>
        <v>Entrepôt</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Installation sportive</v>
      </c>
      <c r="BD47" s="43" t="str">
        <f t="shared" si="14"/>
        <v>Installation sportive</v>
      </c>
      <c r="BE47" s="43" t="str">
        <f t="shared" si="13"/>
        <v>Installation sportive</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oui</v>
      </c>
      <c r="AB48" s="120" t="str">
        <f>Uebersetzung!D254</f>
        <v>Moteur AC</v>
      </c>
      <c r="AC48" s="562">
        <v>1</v>
      </c>
      <c r="AD48" s="27">
        <v>3</v>
      </c>
      <c r="AE48" s="36"/>
      <c r="AF48" s="35"/>
      <c r="AG48" s="36"/>
      <c r="AH48" s="115"/>
      <c r="AI48" s="36"/>
      <c r="AJ48" s="115"/>
      <c r="AK48" s="36"/>
      <c r="AL48" s="115"/>
      <c r="AM48" s="36"/>
      <c r="AN48" s="115"/>
      <c r="BB48" s="94">
        <v>13</v>
      </c>
      <c r="BC48" s="116" t="str">
        <f>Uebersetzung!D93</f>
        <v>Piscine couverte</v>
      </c>
      <c r="BD48" s="142" t="str">
        <f t="shared" si="14"/>
        <v>Piscine couverte</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non</v>
      </c>
      <c r="AB49" s="142" t="str">
        <f>Uebersetzung!D255</f>
        <v>Moteur DC/EC</v>
      </c>
      <c r="AC49" s="562">
        <v>2</v>
      </c>
      <c r="AE49" s="43"/>
      <c r="AF49" s="287" t="s">
        <v>268</v>
      </c>
      <c r="AG49" s="2747" t="b">
        <f>AND(IF(Kategorie1=13,FALSE,AND(OR(Standardlüftung1=2,NOT(Standardwerte!AG37)),Standardwerte!AG38)),NOT(AG50))</f>
        <v>0</v>
      </c>
      <c r="AH49" s="2748"/>
      <c r="AI49" s="2747" t="b">
        <f>AND(IF(Kategorie2=13,FALSE,AND(OR(Standardlüftung2=2,NOT(Standardwerte!AI37)),Standardwerte!AI38)),NOT(AI50))</f>
        <v>0</v>
      </c>
      <c r="AJ49" s="2748"/>
      <c r="AK49" s="2747" t="b">
        <f>AND(IF(Kategorie3=13,FALSE,AND(OR(Standardlüftung3=2,NOT(Standardwerte!AK37)),Standardwerte!AK38)),NOT(AK50))</f>
        <v>0</v>
      </c>
      <c r="AL49" s="2748"/>
      <c r="AM49" s="2747" t="b">
        <f>AND(IF(Kategorie4=13,FALSE,AND(OR(Standardlüftung4=2,NOT(Standardwerte!AM37)),Standardwerte!AM38)),NOT(AM50))</f>
        <v>0</v>
      </c>
      <c r="AN49" s="2748"/>
      <c r="AO49" s="2747" t="b">
        <f>OR(AG49:AM49)</f>
        <v>0</v>
      </c>
      <c r="AP49" s="2988"/>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IF(Entrées!E46=Standardwerte!Z49,2,1)</f>
        <v>2</v>
      </c>
      <c r="AA50" s="27">
        <v>1</v>
      </c>
      <c r="AB50" s="830" t="b">
        <f>IF(Entrées!F35=Standardwerte!AB49,TRUE,FALSE)</f>
        <v>0</v>
      </c>
      <c r="AC50" s="562">
        <v>3</v>
      </c>
      <c r="AE50" s="94"/>
      <c r="AF50" s="288" t="s">
        <v>267</v>
      </c>
      <c r="AG50" s="2986" t="b">
        <f>OR(AND(J118&gt;1,J118&lt;5),IF(Kategorie1=13,FALSE,NOT(Standardwerte!AG35)))</f>
        <v>0</v>
      </c>
      <c r="AH50" s="2987"/>
      <c r="AI50" s="2986" t="b">
        <f>OR(AND(K118&gt;1,K118&lt;5),IF(Kategorie2=13,FALSE,NOT(Standardwerte!AI35)))</f>
        <v>0</v>
      </c>
      <c r="AJ50" s="2987"/>
      <c r="AK50" s="2986" t="b">
        <f>OR(AND(L118&gt;1,L118&lt;5),IF(Kategorie3=13,FALSE,NOT(Standardwerte!AK35)))</f>
        <v>0</v>
      </c>
      <c r="AL50" s="2987"/>
      <c r="AM50" s="2986" t="b">
        <f>OR(AND(M118&gt;1,M118&lt;5),IF(Kategorie4=13,FALSE,NOT(Standardwerte!AM35)))</f>
        <v>0</v>
      </c>
      <c r="AN50" s="2987"/>
      <c r="AO50" s="2747" t="b">
        <f>AND(OR(AG50:AM50))</f>
        <v>0</v>
      </c>
      <c r="AP50" s="2991"/>
      <c r="BL50" s="277" t="s">
        <v>228</v>
      </c>
      <c r="BM50" s="278" t="s">
        <v>238</v>
      </c>
      <c r="BN50" s="281"/>
      <c r="BO50" s="120" t="b">
        <v>1</v>
      </c>
      <c r="BP50" s="58">
        <v>1</v>
      </c>
      <c r="BQ50" s="970">
        <v>160</v>
      </c>
      <c r="BR50" s="970">
        <v>190</v>
      </c>
      <c r="BS50" s="45">
        <v>10</v>
      </c>
      <c r="BT50" s="422">
        <v>1</v>
      </c>
      <c r="BU50" s="45">
        <v>0.6</v>
      </c>
      <c r="BV50" s="44">
        <v>0.7</v>
      </c>
    </row>
    <row r="51" spans="1:74">
      <c r="A51" s="54" t="s">
        <v>719</v>
      </c>
      <c r="B51" s="479">
        <f>IF(Entrées!I14="",0,VLOOKUP(Entrées!I14,$A$54:$G$94,7,FALSE))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IF(Entrées!G35=Standardwerte!AB49,TRUE,FALSE)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IF(Entrées!H35=Standardwerte!AB49,TRUE,FALSE)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IF(Entrées!I35=Standardwerte!AB49,TRUE,FALSE)</f>
        <v>0</v>
      </c>
      <c r="AD53" s="42"/>
      <c r="AJ53" s="27" t="str">
        <f>Entrées!E14</f>
        <v>Loi sur l'énergie bernoise 2023</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94" t="s">
        <v>470</v>
      </c>
      <c r="V54" s="2995"/>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Pas de récup.</v>
      </c>
      <c r="M55" s="818"/>
      <c r="N55" s="818" t="str">
        <f>Uebersetzung!D102</f>
        <v>Pas de récup.</v>
      </c>
      <c r="O55" s="811">
        <v>2</v>
      </c>
      <c r="P55" s="819"/>
      <c r="Q55" s="1834">
        <v>0</v>
      </c>
      <c r="R55" s="84"/>
      <c r="S55" s="243" t="s">
        <v>354</v>
      </c>
      <c r="T55" s="637">
        <f>IF(Entrées!F34="",1,VLOOKUP(Entrées!F34,N54:O59,2,FALSE))</f>
        <v>1</v>
      </c>
      <c r="U55" s="112" t="s">
        <v>480</v>
      </c>
      <c r="V55" s="467">
        <f>W55</f>
        <v>1</v>
      </c>
      <c r="W55" s="601">
        <f>Justificatif!M8</f>
        <v>1</v>
      </c>
      <c r="X55" s="99" t="b">
        <f>INDEX($AH$108:$AH$155,$V55,1)</f>
        <v>0</v>
      </c>
      <c r="Y55" s="40">
        <f>IF(AND(DeckungsgradHeizung&gt;99,X55),#REF!/100,0)</f>
        <v>0</v>
      </c>
      <c r="Z55" s="40">
        <f>IF(AND(DeckungsgradWW&gt;99,X55),#REF!/100,0)</f>
        <v>0</v>
      </c>
      <c r="AA55" s="534">
        <f>IF(Justificatif!$L$54&gt;0,(Justificatif!$L$34*Y55+qw*Z55)/Justificatif!$L$54,0)</f>
        <v>0</v>
      </c>
      <c r="AB55" s="532" t="b">
        <f>INDEX($AI$108:$AI$155,$V55,1)</f>
        <v>0</v>
      </c>
      <c r="AC55" s="533">
        <f>IF(AND(DeckungsgradHeizung&gt;99,AB55),#REF!/100,0)</f>
        <v>0</v>
      </c>
      <c r="AD55" s="534">
        <f>IF(AND(DeckungsgradWW&gt;99,AB55),#REF!/100,0)</f>
        <v>0</v>
      </c>
      <c r="AE55" s="534">
        <f>IF(Justificatif!$L$54&gt;0,(Justificatif!$L$34*AC55+qw*AD55)/Justificatif!$L$54,0)</f>
        <v>0</v>
      </c>
      <c r="AF55" s="336" t="b">
        <f>INDEX($AJ$108:$AJ$155,$V55,1)</f>
        <v>0</v>
      </c>
      <c r="AG55" s="547">
        <f>IF(AF55,IF(#REF!&lt;&gt;"",-#REF!,0),0)</f>
        <v>0</v>
      </c>
      <c r="AH55" s="115"/>
      <c r="AJ55" s="2442" t="str">
        <f>Uebersetzung!D19</f>
        <v>Preuve officielle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Courant croisé</v>
      </c>
      <c r="M56" s="170"/>
      <c r="N56" s="136" t="str">
        <f>Uebersetzung!D103</f>
        <v>Courant croisé</v>
      </c>
      <c r="O56" s="84">
        <v>3</v>
      </c>
      <c r="P56" s="332"/>
      <c r="Q56" s="450">
        <v>0.45</v>
      </c>
      <c r="R56" s="84"/>
      <c r="S56" s="243" t="s">
        <v>355</v>
      </c>
      <c r="T56" s="637">
        <f>IF(Entrées!G34="",1,VLOOKUP(Entrées!G34,N54:O59,2,FALSE))</f>
        <v>1</v>
      </c>
      <c r="U56" s="56" t="s">
        <v>481</v>
      </c>
      <c r="V56" s="468">
        <f>W56</f>
        <v>1</v>
      </c>
      <c r="W56" s="601">
        <f>Justificatif!M12</f>
        <v>1</v>
      </c>
      <c r="X56" s="99" t="b">
        <f>INDEX($AH$108:$AH$155,$V56,1)</f>
        <v>0</v>
      </c>
      <c r="Y56" s="45">
        <f>IF(AND(DeckungsgradHeizung&gt;99,X56),#REF!/100,0)</f>
        <v>0</v>
      </c>
      <c r="Z56" s="45">
        <f>IF(AND(DeckungsgradWW&gt;99,X56),#REF!/100,0)</f>
        <v>0</v>
      </c>
      <c r="AA56" s="536">
        <f>IF(Justificatif!$L$54&gt;0,(Justificatif!$L$34*Y56+qw*Z56)/Justificatif!$L$54,0)</f>
        <v>0</v>
      </c>
      <c r="AB56" s="532" t="b">
        <f>INDEX($AI$108:$AI$155,$V56,1)</f>
        <v>0</v>
      </c>
      <c r="AC56" s="535">
        <f>IF(AND(DeckungsgradHeizung&gt;99,AB56),#REF!/100,0)</f>
        <v>0</v>
      </c>
      <c r="AD56" s="536">
        <f>IF(AND(DeckungsgradWW&gt;99,AB56),#REF!/100,0)</f>
        <v>0</v>
      </c>
      <c r="AE56" s="536">
        <f>IF(Justificatif!$L$54&gt;0,(Justificatif!$L$34*AC56+qw*AD56)/Justificatif!$L$54,0)</f>
        <v>0</v>
      </c>
      <c r="AF56" s="336" t="b">
        <f>INDEX($AJ$108:$AJ$155,$V56,1)</f>
        <v>0</v>
      </c>
      <c r="AG56" s="548">
        <f>IF(AF56,IF(#REF!&lt;&gt;"",-#REF!,0),0)</f>
        <v>0</v>
      </c>
      <c r="AH56" s="53"/>
      <c r="AJ56" s="2443" t="str">
        <f>Uebersetzung!D559</f>
        <v>Minergie avec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Contre-courant</v>
      </c>
      <c r="M57" s="170"/>
      <c r="N57" s="136" t="str">
        <f>Uebersetzung!D104</f>
        <v>Contre-courant</v>
      </c>
      <c r="O57" s="84">
        <v>4</v>
      </c>
      <c r="P57" s="332"/>
      <c r="Q57" s="450">
        <v>0.7</v>
      </c>
      <c r="R57" s="84"/>
      <c r="S57" s="243" t="s">
        <v>356</v>
      </c>
      <c r="T57" s="637">
        <f>IF(Entrées!H34="",1,VLOOKUP(Entrées!H34,N54:O59,2,FALSE))</f>
        <v>1</v>
      </c>
      <c r="U57" s="56" t="s">
        <v>31</v>
      </c>
      <c r="V57" s="468">
        <f>W57</f>
        <v>1</v>
      </c>
      <c r="W57" s="601">
        <f>Justificatif!M16</f>
        <v>1</v>
      </c>
      <c r="X57" s="99" t="b">
        <f>INDEX($AH$108:$AH$155,$V57,1)</f>
        <v>0</v>
      </c>
      <c r="Y57" s="45">
        <f>IF(AND(DeckungsgradHeizung&gt;99,X57),#REF!/100,0)</f>
        <v>0</v>
      </c>
      <c r="Z57" s="45">
        <f>IF(AND(DeckungsgradWW&gt;99,X57),#REF!/100,0)</f>
        <v>0</v>
      </c>
      <c r="AA57" s="536">
        <f>IF(Justificatif!$L$54&gt;0,(Justificatif!$L$34*Y57+qw*Z57)/Justificatif!$L$54,0)</f>
        <v>0</v>
      </c>
      <c r="AB57" s="532" t="b">
        <f>INDEX($AI$108:$AI$155,$V57,1)</f>
        <v>0</v>
      </c>
      <c r="AC57" s="535">
        <f>IF(AND(DeckungsgradHeizung&gt;99,AB57),#REF!/100,0)</f>
        <v>0</v>
      </c>
      <c r="AD57" s="536">
        <f>IF(AND(DeckungsgradWW&gt;99,AB57),#REF!/100,0)</f>
        <v>0</v>
      </c>
      <c r="AE57" s="536">
        <f>IF(Justificatif!$L$54&gt;0,(Justificatif!$L$34*AC57+qw*AD57)/Justificatif!$L$54,0)</f>
        <v>0</v>
      </c>
      <c r="AF57" s="336" t="b">
        <f>INDEX($AJ$108:$AJ$155,$V57,1)</f>
        <v>0</v>
      </c>
      <c r="AG57" s="548">
        <f>IF(AF57,IF(#REF!&lt;&gt;"",-#REF!,0),0)</f>
        <v>0</v>
      </c>
      <c r="AH57" s="53"/>
      <c r="AJ57" s="2443" t="str">
        <f>Uebersetzung!D560</f>
        <v>Minergie-P avec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Rotatif</v>
      </c>
      <c r="M58" s="136"/>
      <c r="N58" s="136" t="str">
        <f>Uebersetzung!D105</f>
        <v>Rotatif</v>
      </c>
      <c r="O58" s="84">
        <v>5</v>
      </c>
      <c r="P58" s="332"/>
      <c r="Q58" s="450">
        <v>0.7</v>
      </c>
      <c r="R58" s="134"/>
      <c r="S58" s="243" t="s">
        <v>124</v>
      </c>
      <c r="T58" s="638">
        <f>IF(Entrées!I34="",1,VLOOKUP(Entrées!I34,N54:O59,2,FALSE))</f>
        <v>1</v>
      </c>
      <c r="U58" s="110" t="s">
        <v>32</v>
      </c>
      <c r="V58" s="469">
        <f>W58</f>
        <v>1</v>
      </c>
      <c r="W58" s="602">
        <f>Justificatif!M20</f>
        <v>1</v>
      </c>
      <c r="X58" s="530" t="b">
        <f>INDEX($AH$108:$AH$155,$V58,1)</f>
        <v>0</v>
      </c>
      <c r="Y58" s="49">
        <f>IF(AND(DeckungsgradHeizung&gt;99,X58),#REF!/100,0)</f>
        <v>0</v>
      </c>
      <c r="Z58" s="49">
        <f>IF(AND(DeckungsgradWW&gt;99,X58),#REF!/100,0)</f>
        <v>0</v>
      </c>
      <c r="AA58" s="539">
        <f>IF(Justificatif!$L$54&gt;0,(Justificatif!$L$34*Y58+qw*Z58)/Justificatif!$L$54,0)</f>
        <v>0</v>
      </c>
      <c r="AB58" s="537" t="b">
        <f>INDEX($AI$108:$AI$155,$V58,1)</f>
        <v>0</v>
      </c>
      <c r="AC58" s="538">
        <f>IF(AND(DeckungsgradHeizung&gt;99,AB58),#REF!/100,0)</f>
        <v>0</v>
      </c>
      <c r="AD58" s="539">
        <f>IF(AND(DeckungsgradWW&gt;99,AB58),#REF!/100,0)</f>
        <v>0</v>
      </c>
      <c r="AE58" s="539">
        <f>IF(Justificatif!$L$54&gt;0,(Justificatif!$L$34*AC58+qw*AD58)/Justificatif!$L$54,0)</f>
        <v>0</v>
      </c>
      <c r="AF58" s="337" t="b">
        <f>INDEX($AJ$108:$AJ$155,$V58,1)</f>
        <v>0</v>
      </c>
      <c r="AG58" s="549">
        <f>IF(AF58,IF(#REF!&lt;&gt;"",-#REF!,0),0)</f>
        <v>0</v>
      </c>
      <c r="AH58" s="116"/>
      <c r="AJ58" s="2443" t="str">
        <f>Uebersetzung!D561</f>
        <v>Minergie-A avec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Enthalpie</v>
      </c>
      <c r="M59" s="136"/>
      <c r="N59" s="136" t="str">
        <f>Uebersetzung!D571</f>
        <v>Enthalpie</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avec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avec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avec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Loi sur l'énergie bernoise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IF(Entrées!E14="",0,VLOOKUP(Entrées!E14,AJ55:AK62,2,FALSE))</f>
        <v>8</v>
      </c>
      <c r="AK63" s="968">
        <f>IF(AJ63=8,8,IF(AJ63&lt;5,AJ63,AJ63-3))</f>
        <v>8</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1</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74" t="s">
        <v>3113</v>
      </c>
      <c r="Y65" s="2975"/>
      <c r="Z65" s="2975"/>
      <c r="AA65" s="2975"/>
      <c r="AB65" s="2975"/>
      <c r="AC65" s="2975"/>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54" t="s">
        <v>3620</v>
      </c>
      <c r="Q66" s="2955"/>
      <c r="R66" s="2955"/>
      <c r="S66" s="2956"/>
      <c r="T66" s="42">
        <v>4</v>
      </c>
      <c r="U66" s="264" t="str">
        <f>INDEX($V$108:$V$155,_typ4,1)</f>
        <v xml:space="preserve">  </v>
      </c>
      <c r="V66" s="265" t="str">
        <f>INDEX($W$108:$W$155,_typ4,1)</f>
        <v xml:space="preserve">  </v>
      </c>
      <c r="W66" s="111"/>
      <c r="X66" s="2974" t="s">
        <v>546</v>
      </c>
      <c r="Y66" s="2976"/>
      <c r="Z66" s="2974" t="s">
        <v>663</v>
      </c>
      <c r="AA66" s="2976"/>
      <c r="AB66" s="2974" t="s">
        <v>499</v>
      </c>
      <c r="AC66" s="2975"/>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99" t="s">
        <v>3560</v>
      </c>
      <c r="AM68" s="2999"/>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Pas de ventilation</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96" t="s">
        <v>2447</v>
      </c>
      <c r="AE69" s="2997"/>
      <c r="AF69" s="2998"/>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FOU/REP sans RC</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Double flux</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FOU/REP+PAC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REP</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REP+PAC</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Par Local</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MAX(Justificatif!G58-MINERGIE_Wert,0)</f>
        <v>0</v>
      </c>
      <c r="BS75" s="120"/>
    </row>
    <row r="76" spans="1:71">
      <c r="A76" s="90" t="s">
        <v>301</v>
      </c>
      <c r="B76" s="91" t="s">
        <v>299</v>
      </c>
      <c r="C76" s="91">
        <v>10</v>
      </c>
      <c r="D76" s="91">
        <v>0</v>
      </c>
      <c r="E76" s="91">
        <v>1508</v>
      </c>
      <c r="F76" s="92">
        <v>5.9</v>
      </c>
      <c r="G76" s="562">
        <v>23</v>
      </c>
      <c r="O76" s="107"/>
      <c r="P76" s="45" t="str">
        <f t="shared" si="17"/>
        <v>Fen. auto</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 de transfert d’air</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 de base</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72" t="s">
        <v>13</v>
      </c>
      <c r="P83" s="2973"/>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Habitat collectif</v>
      </c>
      <c r="J85" s="352" t="str">
        <f>AA48</f>
        <v>oui</v>
      </c>
      <c r="K85" s="353" t="str">
        <f>AA48</f>
        <v>oui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Habitat individuel</v>
      </c>
      <c r="J86" s="354" t="str">
        <f>AA48</f>
        <v>oui</v>
      </c>
      <c r="K86" s="355" t="str">
        <f>AA48</f>
        <v>oui</v>
      </c>
      <c r="L86" s="42" t="b">
        <v>1</v>
      </c>
      <c r="M86" s="53" t="b">
        <v>1</v>
      </c>
      <c r="N86" s="431">
        <v>0.9</v>
      </c>
      <c r="O86" s="443">
        <v>0.6</v>
      </c>
      <c r="P86" s="432">
        <v>15</v>
      </c>
      <c r="Q86" s="440">
        <v>0</v>
      </c>
      <c r="R86" s="440">
        <f t="shared" ref="R86:R95" si="27">0.8</f>
        <v>0.8</v>
      </c>
      <c r="S86" s="27"/>
      <c r="T86" s="27"/>
      <c r="U86" s="27"/>
      <c r="V86" s="27"/>
      <c r="W86" s="27" t="str">
        <f>MINERGIE!B33</f>
        <v>Ascenseur / élévateur disponible sur place?</v>
      </c>
      <c r="X86" s="738" t="s">
        <v>650</v>
      </c>
      <c r="Y86" s="738" t="s">
        <v>3290</v>
      </c>
    </row>
    <row r="87" spans="1:40">
      <c r="A87" s="90" t="s">
        <v>304</v>
      </c>
      <c r="B87" s="91" t="s">
        <v>295</v>
      </c>
      <c r="C87" s="91">
        <v>11</v>
      </c>
      <c r="D87" s="91">
        <v>2</v>
      </c>
      <c r="E87" s="91">
        <v>1298</v>
      </c>
      <c r="F87" s="92">
        <v>5.5</v>
      </c>
      <c r="G87" s="562">
        <v>34</v>
      </c>
      <c r="H87" s="46">
        <v>4</v>
      </c>
      <c r="I87" s="37" t="str">
        <f t="shared" si="26"/>
        <v>Administration</v>
      </c>
      <c r="J87" s="354" t="str">
        <f>AA48</f>
        <v>oui</v>
      </c>
      <c r="K87" s="355" t="str">
        <f>AA49</f>
        <v>non</v>
      </c>
      <c r="L87" s="42" t="b">
        <v>1</v>
      </c>
      <c r="M87" s="53" t="b">
        <v>0</v>
      </c>
      <c r="N87" s="431">
        <v>0.9</v>
      </c>
      <c r="O87" s="443">
        <v>0.6</v>
      </c>
      <c r="P87" s="432">
        <v>15</v>
      </c>
      <c r="Q87" s="440">
        <v>0</v>
      </c>
      <c r="R87" s="440">
        <f t="shared" si="27"/>
        <v>0.8</v>
      </c>
      <c r="S87" s="27"/>
      <c r="T87" s="27"/>
      <c r="U87" s="27"/>
      <c r="V87" s="107">
        <v>1</v>
      </c>
      <c r="W87" s="88" t="str">
        <f>MINERGIE!B34</f>
        <v>Tous les lave-vaiselle min. classe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Ecole</v>
      </c>
      <c r="J88" s="354" t="str">
        <f>AA48</f>
        <v>oui</v>
      </c>
      <c r="K88" s="355" t="str">
        <f>AA49</f>
        <v>non</v>
      </c>
      <c r="L88" s="42" t="b">
        <v>1</v>
      </c>
      <c r="M88" s="53" t="b">
        <v>0</v>
      </c>
      <c r="N88" s="431">
        <v>0.9</v>
      </c>
      <c r="O88" s="443">
        <v>0.6</v>
      </c>
      <c r="P88" s="432">
        <v>15</v>
      </c>
      <c r="Q88" s="440">
        <v>0</v>
      </c>
      <c r="R88" s="440">
        <f t="shared" si="27"/>
        <v>0.8</v>
      </c>
      <c r="S88" s="27"/>
      <c r="T88" s="27"/>
      <c r="U88" s="27"/>
      <c r="V88" s="107">
        <v>2</v>
      </c>
      <c r="W88" s="120" t="str">
        <f>MINERGIE!B35</f>
        <v>Tous les réfrigérateurs min. classe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Commerce</v>
      </c>
      <c r="J89" s="354" t="str">
        <f>AA48</f>
        <v>oui</v>
      </c>
      <c r="K89" s="355" t="str">
        <f>AA49</f>
        <v>non</v>
      </c>
      <c r="L89" s="42" t="b">
        <v>1</v>
      </c>
      <c r="M89" s="53" t="b">
        <v>0</v>
      </c>
      <c r="N89" s="431">
        <v>0.9</v>
      </c>
      <c r="O89" s="443">
        <v>0.6</v>
      </c>
      <c r="P89" s="432">
        <v>15</v>
      </c>
      <c r="Q89" s="440">
        <v>0</v>
      </c>
      <c r="R89" s="440">
        <f t="shared" si="27"/>
        <v>0.8</v>
      </c>
      <c r="S89" s="27"/>
      <c r="T89" s="27"/>
      <c r="U89" s="27"/>
      <c r="V89" s="107">
        <v>3</v>
      </c>
      <c r="W89" s="120" t="str">
        <f>MINERGIE!B36</f>
        <v>Tous les congélateurs min. classe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non</v>
      </c>
      <c r="K90" s="355" t="str">
        <f>AA49</f>
        <v>non</v>
      </c>
      <c r="L90" s="42" t="b">
        <v>0</v>
      </c>
      <c r="M90" s="53" t="b">
        <v>0</v>
      </c>
      <c r="N90" s="431">
        <v>0.9</v>
      </c>
      <c r="O90" s="443">
        <v>0.6</v>
      </c>
      <c r="P90" s="432">
        <v>15</v>
      </c>
      <c r="Q90" s="440">
        <v>0</v>
      </c>
      <c r="R90" s="440">
        <f t="shared" si="27"/>
        <v>0.8</v>
      </c>
      <c r="S90" s="27"/>
      <c r="T90" s="27"/>
      <c r="U90" s="27"/>
      <c r="V90" s="107">
        <v>4</v>
      </c>
      <c r="W90" s="120" t="str">
        <f>MINERGIE!B37</f>
        <v>Tous les lave-linge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Lieu de rassemblement</v>
      </c>
      <c r="J91" s="354" t="str">
        <f>AA48</f>
        <v>oui</v>
      </c>
      <c r="K91" s="355" t="str">
        <f>AA49</f>
        <v>non</v>
      </c>
      <c r="L91" s="42" t="b">
        <v>1</v>
      </c>
      <c r="M91" s="53" t="b">
        <v>0</v>
      </c>
      <c r="N91" s="431">
        <v>0.9</v>
      </c>
      <c r="O91" s="443">
        <v>0.6</v>
      </c>
      <c r="P91" s="432">
        <v>15</v>
      </c>
      <c r="Q91" s="440">
        <v>0</v>
      </c>
      <c r="R91" s="440">
        <f t="shared" si="27"/>
        <v>0.8</v>
      </c>
      <c r="S91" s="474" t="s">
        <v>698</v>
      </c>
      <c r="T91" s="426"/>
      <c r="U91" s="93"/>
      <c r="V91" s="1377">
        <v>5</v>
      </c>
      <c r="W91" s="120" t="str">
        <f>MINERGIE!B38</f>
        <v>Tous les sèche-linge sont de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Hôpital</v>
      </c>
      <c r="J92" s="354" t="str">
        <f>AA48</f>
        <v>oui</v>
      </c>
      <c r="K92" s="355" t="str">
        <f>AA48</f>
        <v>oui</v>
      </c>
      <c r="L92" s="42" t="b">
        <v>1</v>
      </c>
      <c r="M92" s="53" t="b">
        <v>1</v>
      </c>
      <c r="N92" s="431">
        <v>0.9</v>
      </c>
      <c r="O92" s="443">
        <v>0.6</v>
      </c>
      <c r="P92" s="432">
        <v>15</v>
      </c>
      <c r="Q92" s="440">
        <v>0</v>
      </c>
      <c r="R92" s="440">
        <f t="shared" si="27"/>
        <v>0.8</v>
      </c>
      <c r="S92" s="475" t="s">
        <v>555</v>
      </c>
      <c r="T92" s="424">
        <v>1</v>
      </c>
      <c r="U92" s="93"/>
      <c r="V92" s="1377">
        <v>6</v>
      </c>
      <c r="W92" s="120" t="str">
        <f>MINERGIE!B39</f>
        <v>Toutes les cuisinières sont à induction</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oui</v>
      </c>
      <c r="K93" s="355" t="str">
        <f>AA49</f>
        <v>non</v>
      </c>
      <c r="L93" s="42" t="b">
        <v>1</v>
      </c>
      <c r="M93" s="53" t="b">
        <v>0</v>
      </c>
      <c r="N93" s="431">
        <v>0.9</v>
      </c>
      <c r="O93" s="443">
        <v>0.6</v>
      </c>
      <c r="P93" s="432">
        <v>15</v>
      </c>
      <c r="Q93" s="440">
        <v>0</v>
      </c>
      <c r="R93" s="440">
        <f t="shared" si="27"/>
        <v>0.8</v>
      </c>
      <c r="S93" s="475" t="s">
        <v>556</v>
      </c>
      <c r="T93" s="425">
        <v>1</v>
      </c>
      <c r="V93" s="107">
        <v>7</v>
      </c>
      <c r="W93" s="120" t="str">
        <f>MINERGIE!B40</f>
        <v>Eclairage LED au moins C &amp; régulation</v>
      </c>
      <c r="X93" s="1698">
        <v>0.03</v>
      </c>
      <c r="Y93" s="1699">
        <v>0.06</v>
      </c>
      <c r="AA93" s="1251" t="str">
        <f>IF(MUKEN,"",IF(minergiea,AA92,IF(minergiep,AA91,AA90)))</f>
        <v>MINERGIE</v>
      </c>
      <c r="AB93" s="1252">
        <f>IF(MUKEN,"",IF(minergiea,AB92,IF(minergiep,AB91,AB90)))</f>
        <v>1</v>
      </c>
      <c r="AC93" s="1252">
        <f>IF(MUKEN,"",IF(minergiea,AC92,IF(minergiep,AC91,AC90)))</f>
        <v>0</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Entrepôt</v>
      </c>
      <c r="J94" s="354" t="str">
        <f>AA48</f>
        <v>oui</v>
      </c>
      <c r="K94" s="355" t="str">
        <f>AA49</f>
        <v>non</v>
      </c>
      <c r="L94" s="42" t="b">
        <v>1</v>
      </c>
      <c r="M94" s="53" t="b">
        <v>0</v>
      </c>
      <c r="N94" s="431">
        <v>0.9</v>
      </c>
      <c r="O94" s="443">
        <v>0.6</v>
      </c>
      <c r="P94" s="432">
        <v>15</v>
      </c>
      <c r="Q94" s="440">
        <v>0</v>
      </c>
      <c r="R94" s="440">
        <f t="shared" si="27"/>
        <v>0.8</v>
      </c>
      <c r="S94" s="475" t="s">
        <v>234</v>
      </c>
      <c r="T94" s="425">
        <v>1</v>
      </c>
      <c r="V94" s="107">
        <v>8</v>
      </c>
      <c r="W94" s="142" t="str">
        <f>MINERGIE!B41</f>
        <v>Appareils efficaces pour l’exploitation du bâtiment</v>
      </c>
      <c r="X94" s="1887">
        <v>0.02</v>
      </c>
      <c r="Y94" s="1888">
        <v>0.04</v>
      </c>
      <c r="AA94" s="127" t="s">
        <v>3526</v>
      </c>
      <c r="AB94" s="2992">
        <v>0.9</v>
      </c>
      <c r="AC94" s="2993"/>
      <c r="AF94" s="108">
        <v>0</v>
      </c>
      <c r="AG94" s="45">
        <v>-0.5</v>
      </c>
      <c r="AH94" s="45">
        <v>30</v>
      </c>
      <c r="AI94" s="1585">
        <v>-12</v>
      </c>
    </row>
    <row r="95" spans="1:40">
      <c r="A95" s="46"/>
      <c r="B95" s="502"/>
      <c r="C95" s="503"/>
      <c r="D95" s="503"/>
      <c r="E95" s="503"/>
      <c r="F95" s="503"/>
      <c r="G95" s="504"/>
      <c r="H95" s="46">
        <v>12</v>
      </c>
      <c r="I95" s="37" t="str">
        <f t="shared" si="26"/>
        <v>Installation sportive</v>
      </c>
      <c r="J95" s="354" t="str">
        <f>AA49</f>
        <v>non</v>
      </c>
      <c r="K95" s="355" t="str">
        <f>AA49</f>
        <v>non</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6</v>
      </c>
      <c r="C96" s="509">
        <f t="shared" si="28"/>
        <v>2</v>
      </c>
      <c r="D96" s="509">
        <f t="shared" si="28"/>
        <v>0</v>
      </c>
      <c r="E96" s="509">
        <f t="shared" si="28"/>
        <v>0</v>
      </c>
      <c r="F96" s="509">
        <f t="shared" si="28"/>
        <v>0</v>
      </c>
      <c r="G96" s="509">
        <f t="shared" si="28"/>
        <v>0</v>
      </c>
      <c r="H96" s="46">
        <v>13</v>
      </c>
      <c r="I96" s="47" t="str">
        <f t="shared" si="26"/>
        <v>Piscine couverte</v>
      </c>
      <c r="J96" s="356" t="str">
        <f>AA49</f>
        <v>non</v>
      </c>
      <c r="K96" s="357" t="str">
        <f>AA49</f>
        <v>non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Argovie</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Rhodes-Intérieures</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Rhodes-Extérieures</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Berne</v>
      </c>
      <c r="B101" s="91">
        <v>6</v>
      </c>
      <c r="C101" s="91">
        <v>2</v>
      </c>
      <c r="D101" s="91"/>
      <c r="E101" s="91"/>
      <c r="F101" s="45"/>
      <c r="G101" s="45"/>
      <c r="I101" s="43" t="s">
        <v>177</v>
      </c>
      <c r="J101" s="742">
        <f>IF(Entrées!$F$17="",1,VLOOKUP(Entrées!$F$17,J99:N100,5,FALSE))</f>
        <v>1</v>
      </c>
      <c r="K101" s="742">
        <f>IF(Entrées!$G$17="",1,VLOOKUP(Entrées!$G$17,K99:N100,4,FALSE))</f>
        <v>1</v>
      </c>
      <c r="L101" s="742">
        <f>IF(Entrées!$H$17="",1,VLOOKUP(Entrées!$H$17,L99:N100,3,FALSE))</f>
        <v>1</v>
      </c>
      <c r="M101" s="637">
        <f>IF(Entrées!$I$17="",1,VLOOKUP(Entrées!$I$17,M99:N100,2,FALSE))</f>
        <v>1</v>
      </c>
      <c r="N101" s="383" t="s">
        <v>11</v>
      </c>
      <c r="O101" s="313" t="b">
        <f>IF(SUM(O97:O100)&gt;0,TRUE,FALSE)</f>
        <v>0</v>
      </c>
    </row>
    <row r="102" spans="1:51">
      <c r="A102" s="505" t="str">
        <f>Uebersetzung!D122</f>
        <v>Bâle-Campagne</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Bâle-Ville</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Glaris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Grisons</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Lucerne</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Pompe à chaleur géothermique, que chauffage</v>
      </c>
      <c r="U109" s="45">
        <v>2</v>
      </c>
      <c r="V109" s="53" t="str">
        <f>Uebersetzung!D202</f>
        <v>Chaudière à mazout</v>
      </c>
      <c r="W109" s="120" t="str">
        <f>Uebersetzung!D157</f>
        <v>Chaudière à mazout</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Pompe à chaleur géothermique, qu'eau chaude</v>
      </c>
      <c r="U110" s="45">
        <v>3</v>
      </c>
      <c r="V110" s="53" t="str">
        <f>Uebersetzung!D203</f>
        <v>Chaudière à mazout à condensation</v>
      </c>
      <c r="W110" s="120" t="str">
        <f>Uebersetzung!D158</f>
        <v>Chaudière à mazout à condensation, que chauffage</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v>
      </c>
      <c r="B111" s="45">
        <v>21</v>
      </c>
      <c r="C111" s="45">
        <v>11</v>
      </c>
      <c r="D111" s="45"/>
      <c r="E111" s="227"/>
      <c r="F111" s="45"/>
      <c r="G111" s="45"/>
      <c r="T111" s="43" t="str">
        <f t="shared" si="29"/>
        <v>Pompe à chaleur air-eau, que chauffage</v>
      </c>
      <c r="U111" s="45">
        <v>4</v>
      </c>
      <c r="V111" s="53" t="str">
        <f>Uebersetzung!D204</f>
        <v xml:space="preserve">Chaudière à mazout à condensation. Eau chaude. </v>
      </c>
      <c r="W111" s="120" t="str">
        <f>Uebersetzung!D159</f>
        <v xml:space="preserve">Chaudière à mazout à condensation, qu'eau chaude </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v>
      </c>
      <c r="B112" s="45">
        <v>21</v>
      </c>
      <c r="C112" s="45">
        <v>11</v>
      </c>
      <c r="D112" s="45"/>
      <c r="E112" s="227"/>
      <c r="F112" s="45"/>
      <c r="G112" s="45"/>
      <c r="I112" s="383" t="s">
        <v>369</v>
      </c>
      <c r="J112" s="359" t="s">
        <v>625</v>
      </c>
      <c r="K112" s="384" t="s">
        <v>626</v>
      </c>
      <c r="L112" s="384" t="s">
        <v>627</v>
      </c>
      <c r="M112" s="250" t="s">
        <v>628</v>
      </c>
      <c r="T112" s="43" t="str">
        <f t="shared" si="29"/>
        <v>Pompe à chaleur air-eau, qu'eau chaude</v>
      </c>
      <c r="U112" s="45">
        <v>5</v>
      </c>
      <c r="V112" s="53" t="str">
        <f>Uebersetzung!D205</f>
        <v>Chaudière à gaz</v>
      </c>
      <c r="W112" s="120" t="str">
        <f>Uebersetzung!D160</f>
        <v>Chaudière à gaz</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St-Gall</v>
      </c>
      <c r="B113" s="45">
        <v>32</v>
      </c>
      <c r="C113" s="45"/>
      <c r="D113" s="45"/>
      <c r="E113" s="227"/>
      <c r="F113" s="45"/>
      <c r="G113" s="45"/>
      <c r="J113" s="88"/>
      <c r="K113" s="115"/>
      <c r="L113" s="88"/>
      <c r="M113" s="88"/>
      <c r="N113" s="562">
        <v>1</v>
      </c>
      <c r="T113" s="43" t="str">
        <f t="shared" si="29"/>
        <v>Pompe à chaleur eau-eau, que chauffage</v>
      </c>
      <c r="U113" s="45">
        <v>6</v>
      </c>
      <c r="V113" s="53" t="str">
        <f>Uebersetzung!D206</f>
        <v>Chaudière à gaz à condensation</v>
      </c>
      <c r="W113" s="120" t="str">
        <f>Uebersetzung!D161</f>
        <v>Chaudière à gaz à condensation, que chauffage</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Schaffhouse</v>
      </c>
      <c r="B114" s="45">
        <v>33</v>
      </c>
      <c r="C114" s="45"/>
      <c r="D114" s="45"/>
      <c r="E114" s="227"/>
      <c r="F114" s="45"/>
      <c r="G114" s="45"/>
      <c r="J114" s="120" t="str">
        <f>Uebersetzung!D78</f>
        <v>Refroidissement</v>
      </c>
      <c r="K114" s="53" t="str">
        <f>J114</f>
        <v>Refroidissement</v>
      </c>
      <c r="L114" s="120" t="str">
        <f>K114</f>
        <v>Refroidissement</v>
      </c>
      <c r="M114" s="120" t="str">
        <f>L114</f>
        <v>Refroidissement</v>
      </c>
      <c r="N114" s="562">
        <v>2</v>
      </c>
      <c r="T114" s="43" t="str">
        <f t="shared" si="29"/>
        <v>Pompe à chaleur eau-eau, qu'eau chaude</v>
      </c>
      <c r="U114" s="45">
        <v>7</v>
      </c>
      <c r="V114" s="53" t="str">
        <f>Uebersetzung!D207</f>
        <v>Chaudière à gaz à condensation. Eau chaude</v>
      </c>
      <c r="W114" s="120" t="str">
        <f>Uebersetzung!D162</f>
        <v>Chaudière à gaz à condensation, qu'eau chaude</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Soleure</v>
      </c>
      <c r="B115" s="45">
        <v>38</v>
      </c>
      <c r="C115" s="45"/>
      <c r="D115" s="45"/>
      <c r="E115" s="227"/>
      <c r="F115" s="45"/>
      <c r="G115" s="45"/>
      <c r="J115" s="120" t="str">
        <f>Uebersetzung!D79</f>
        <v>Humidification</v>
      </c>
      <c r="K115" s="53" t="str">
        <f t="shared" ref="K115:M117" si="31">J115</f>
        <v>Humidification</v>
      </c>
      <c r="L115" s="120" t="str">
        <f t="shared" si="31"/>
        <v>Humidification</v>
      </c>
      <c r="M115" s="120" t="str">
        <f t="shared" si="31"/>
        <v>Humidification</v>
      </c>
      <c r="N115" s="562">
        <v>3</v>
      </c>
      <c r="T115" s="43" t="str">
        <f t="shared" si="29"/>
        <v>Pompe à chaleur eau usée, que chauffage</v>
      </c>
      <c r="U115" s="45">
        <v>8</v>
      </c>
      <c r="V115" s="53" t="str">
        <f>Uebersetzung!D208</f>
        <v>Chauffe-eau à gaz</v>
      </c>
      <c r="W115" s="120" t="str">
        <f>Uebersetzung!D163</f>
        <v>Chauffe-eau à gaz</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Schwytz</v>
      </c>
      <c r="B116" s="45">
        <v>21</v>
      </c>
      <c r="C116" s="45">
        <v>41</v>
      </c>
      <c r="D116" s="45"/>
      <c r="E116" s="227"/>
      <c r="F116" s="45"/>
      <c r="G116" s="45"/>
      <c r="J116" s="120" t="str">
        <f>Uebersetzung!D80</f>
        <v>Refr. + humid.</v>
      </c>
      <c r="K116" s="53" t="str">
        <f t="shared" si="31"/>
        <v>Refr. + humid.</v>
      </c>
      <c r="L116" s="120" t="str">
        <f t="shared" si="31"/>
        <v>Refr. + humid.</v>
      </c>
      <c r="M116" s="120" t="str">
        <f t="shared" si="31"/>
        <v>Refr. + humid.</v>
      </c>
      <c r="N116" s="562">
        <v>4</v>
      </c>
      <c r="T116" s="43" t="str">
        <f t="shared" si="29"/>
        <v>Pompe à chaleur eau usée, qu'eau chaude</v>
      </c>
      <c r="U116" s="45">
        <v>9</v>
      </c>
      <c r="V116" s="53" t="str">
        <f>Uebersetzung!D209</f>
        <v>Chauffage au bois</v>
      </c>
      <c r="W116" s="120" t="str">
        <f>Uebersetzung!D164</f>
        <v>Chauffage au bois</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Thurgovie</v>
      </c>
      <c r="B117" s="45">
        <v>15</v>
      </c>
      <c r="C117" s="45"/>
      <c r="D117" s="45"/>
      <c r="E117" s="227"/>
      <c r="F117" s="45"/>
      <c r="G117" s="45"/>
      <c r="J117" s="120" t="str">
        <f>Uebersetzung!D81</f>
        <v>aucune</v>
      </c>
      <c r="K117" s="53" t="str">
        <f t="shared" si="31"/>
        <v>aucune</v>
      </c>
      <c r="L117" s="120" t="str">
        <f t="shared" si="31"/>
        <v>aucune</v>
      </c>
      <c r="M117" s="120" t="str">
        <f t="shared" si="31"/>
        <v>aucune</v>
      </c>
      <c r="N117" s="562">
        <v>5</v>
      </c>
      <c r="T117" s="43" t="str">
        <f t="shared" si="29"/>
        <v>Pompe à chaleur eau souterraine, directe, que chauffage</v>
      </c>
      <c r="U117" s="45">
        <v>10</v>
      </c>
      <c r="V117" s="53" t="str">
        <f>Uebersetzung!D210</f>
        <v>Chauffage au pellets</v>
      </c>
      <c r="W117" s="120" t="str">
        <f>Uebersetzung!D165</f>
        <v>Chauffage au pellets</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IF(Entrées!$F$39="",1,VLOOKUP(Entrées!$F$39,Standardwerte!J113:N117,5,FALSE))</f>
        <v>1</v>
      </c>
      <c r="K118" s="640">
        <f>IF(Entrées!$G$39="",1,VLOOKUP(Entrées!$G$39,Standardwerte!K113:N117,4,FALSE))</f>
        <v>1</v>
      </c>
      <c r="L118" s="640">
        <f>IF(Entrées!$H$39="",1,VLOOKUP(Entrées!$H$39,Standardwerte!L113:N117,3,FALSE))</f>
        <v>1</v>
      </c>
      <c r="M118" s="640">
        <f>IF(Entrées!$I$39="",1,VLOOKUP(Entrées!$I$39,Standardwerte!M113:N117,2,FALSE))</f>
        <v>1</v>
      </c>
      <c r="T118" s="43" t="str">
        <f t="shared" si="29"/>
        <v>Pompe à chaleur eau souterraine, directe, qu'eau chaude</v>
      </c>
      <c r="U118" s="45">
        <v>11</v>
      </c>
      <c r="V118" s="53" t="str">
        <f>Uebersetzung!D211</f>
        <v>Chaleur à distance (min. 50% énergies ren.)</v>
      </c>
      <c r="W118" s="2347" t="str">
        <f>Uebersetzung!D166</f>
        <v>Chaleur à distance (min. 50% énergies ren., rejets, CCF)</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Pompe à chaleur eau souterraine, indirecte, que chauffage</v>
      </c>
      <c r="U119" s="45">
        <v>12</v>
      </c>
      <c r="V119" s="53" t="str">
        <f>Uebersetzung!D212</f>
        <v>Chauffage central électrique</v>
      </c>
      <c r="W119" s="120" t="str">
        <f>Uebersetzung!D167</f>
        <v>Chauffage central électrique</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Pompe à chaleur eau souterraine, indirecte, qu'eau chaude</v>
      </c>
      <c r="U120" s="45">
        <v>13</v>
      </c>
      <c r="V120" s="53" t="str">
        <f>Uebersetzung!D213</f>
        <v>Chauffage électrique direct</v>
      </c>
      <c r="W120" s="120" t="str">
        <f>Uebersetzung!D168</f>
        <v>Chauffage électrique direct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Valais</v>
      </c>
      <c r="B121" s="45">
        <v>35</v>
      </c>
      <c r="C121" s="45">
        <v>39</v>
      </c>
      <c r="D121" s="45">
        <v>23</v>
      </c>
      <c r="E121" s="227">
        <v>14</v>
      </c>
      <c r="F121" s="45"/>
      <c r="G121" s="45"/>
      <c r="S121" s="27"/>
      <c r="T121" s="43" t="str">
        <f t="shared" si="29"/>
        <v>Pompe à chaleur registre terrestre, que chauffage</v>
      </c>
      <c r="U121" s="45">
        <v>14</v>
      </c>
      <c r="V121" s="53" t="str">
        <f>Uebersetzung!D214</f>
        <v>Chauffe-eau électrique</v>
      </c>
      <c r="W121" s="120" t="str">
        <f>Uebersetzung!D169</f>
        <v>Chauffe-eau électrique</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Zoug</v>
      </c>
      <c r="B122" s="45">
        <v>21</v>
      </c>
      <c r="C122" s="45"/>
      <c r="D122" s="45"/>
      <c r="E122" s="227"/>
      <c r="F122" s="45"/>
      <c r="G122" s="45"/>
      <c r="I122" s="711" t="str">
        <f>IF(bern,"Bern","MUKEN")</f>
        <v>Bern</v>
      </c>
      <c r="J122" s="707" t="s">
        <v>241</v>
      </c>
      <c r="K122" s="995" t="s">
        <v>651</v>
      </c>
      <c r="L122" s="977" t="s">
        <v>650</v>
      </c>
      <c r="M122" s="733"/>
      <c r="N122" s="2969" t="s">
        <v>786</v>
      </c>
      <c r="O122" s="2970"/>
      <c r="P122" s="2970"/>
      <c r="Q122" s="2971"/>
      <c r="R122" s="733"/>
      <c r="S122" s="27"/>
      <c r="T122" s="43" t="str">
        <f t="shared" si="29"/>
        <v>Pompe à chaleur registre terrestre, qu'eau chaude</v>
      </c>
      <c r="U122" s="45">
        <v>15</v>
      </c>
      <c r="V122" s="53" t="str">
        <f>Uebersetzung!D215</f>
        <v>CCF (fossile) - part thermique et électrique</v>
      </c>
      <c r="W122" s="120" t="str">
        <f>Uebersetzung!D170</f>
        <v>CCF (fossile) - part thermique et électrique</v>
      </c>
      <c r="X122" s="228">
        <v>0.8</v>
      </c>
      <c r="Y122" s="228">
        <v>0.9</v>
      </c>
      <c r="Z122" s="228">
        <v>1</v>
      </c>
      <c r="AA122" s="235">
        <v>1</v>
      </c>
      <c r="AB122" s="45">
        <v>1</v>
      </c>
      <c r="AC122" s="156">
        <v>30</v>
      </c>
      <c r="AD122" s="428" t="str">
        <f>Uebersetzung!D249</f>
        <v>Rendement électrique (joindre calcul)</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Zurich</v>
      </c>
      <c r="B123" s="45">
        <v>41</v>
      </c>
      <c r="C123" s="45"/>
      <c r="D123" s="45"/>
      <c r="E123" s="227"/>
      <c r="F123" s="45"/>
      <c r="G123" s="45"/>
      <c r="I123" s="1191" t="str">
        <f>IF(bern,"2023","2014")</f>
        <v>2023</v>
      </c>
      <c r="J123" s="708"/>
      <c r="K123" s="741" t="s">
        <v>1699</v>
      </c>
      <c r="L123" s="740" t="s">
        <v>1699</v>
      </c>
      <c r="M123" s="734" t="s">
        <v>784</v>
      </c>
      <c r="N123" s="739" t="s">
        <v>555</v>
      </c>
      <c r="O123" s="741" t="s">
        <v>556</v>
      </c>
      <c r="P123" s="740" t="s">
        <v>234</v>
      </c>
      <c r="Q123" s="740" t="s">
        <v>235</v>
      </c>
      <c r="R123" s="734" t="s">
        <v>1696</v>
      </c>
      <c r="S123" s="27"/>
      <c r="T123" s="43" t="str">
        <f t="shared" si="29"/>
        <v>Chaleur à distance (min. 75% énergies ren., rejets, CCF)</v>
      </c>
      <c r="U123" s="45">
        <v>16</v>
      </c>
      <c r="V123" s="53" t="str">
        <f>Uebersetzung!D216</f>
        <v>CCF (bois) - part thermique et électrique</v>
      </c>
      <c r="W123" s="120" t="str">
        <f>Uebersetzung!D171</f>
        <v>CCF (bois) - part thermique et électrique</v>
      </c>
      <c r="X123" s="228">
        <v>0.7</v>
      </c>
      <c r="Y123" s="228">
        <v>0.9</v>
      </c>
      <c r="Z123" s="2349">
        <v>0.5</v>
      </c>
      <c r="AA123" s="235">
        <v>1</v>
      </c>
      <c r="AB123" s="45">
        <v>1</v>
      </c>
      <c r="AC123" s="156">
        <v>46</v>
      </c>
      <c r="AD123" s="428" t="str">
        <f>AD122</f>
        <v>Rendement électrique (joindre calcul)</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Principauté du Liechtenstein</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Chaleur à distance (min. 50% énergies ren., rejets, CCF)</v>
      </c>
      <c r="U124" s="45">
        <v>17</v>
      </c>
      <c r="V124" s="53" t="str">
        <f>Uebersetzung!D217</f>
        <v>Pompe à chaleur air-air, chauffage</v>
      </c>
      <c r="W124" s="120" t="str">
        <f>Uebersetzung!D172</f>
        <v>Pompe à chaleur air-eau, que chauffage</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spécial</v>
      </c>
      <c r="B125" s="110"/>
      <c r="C125" s="110"/>
      <c r="D125" s="110"/>
      <c r="E125" s="521"/>
      <c r="F125" s="110"/>
      <c r="G125" s="49"/>
      <c r="H125" s="27">
        <v>1</v>
      </c>
      <c r="I125" s="43"/>
      <c r="J125" s="42"/>
      <c r="K125" s="120"/>
      <c r="L125" s="693"/>
      <c r="M125" s="36"/>
      <c r="N125" s="112"/>
      <c r="O125" s="40"/>
      <c r="P125" s="40"/>
      <c r="Q125" s="113"/>
      <c r="R125" s="40"/>
      <c r="S125" s="27"/>
      <c r="T125" s="43" t="str">
        <f t="shared" si="29"/>
        <v>Chaleur à distance (min. 25% énergies ren., rejets, CCF)</v>
      </c>
      <c r="U125" s="45">
        <v>18</v>
      </c>
      <c r="V125" s="53" t="str">
        <f>Uebersetzung!D218</f>
        <v>Pompe à chaleur air-air, eau chaude</v>
      </c>
      <c r="W125" s="120" t="str">
        <f>Uebersetzung!D173</f>
        <v>Pompe à chaleur air-eau, qu'eau chaude</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Bern  Liebefeld</v>
      </c>
      <c r="B126" s="511" t="str">
        <f t="shared" si="32"/>
        <v>Adelboden</v>
      </c>
      <c r="C126" s="511" t="str">
        <f t="shared" si="32"/>
        <v/>
      </c>
      <c r="D126" s="511" t="str">
        <f t="shared" si="32"/>
        <v/>
      </c>
      <c r="E126" s="511" t="str">
        <f t="shared" si="32"/>
        <v/>
      </c>
      <c r="F126" s="511" t="str">
        <f t="shared" si="32"/>
        <v/>
      </c>
      <c r="G126" s="518"/>
      <c r="H126" s="27">
        <v>2</v>
      </c>
      <c r="I126" s="43" t="s">
        <v>49</v>
      </c>
      <c r="J126" s="42" t="s">
        <v>29</v>
      </c>
      <c r="K126" s="45">
        <f>IF(bern,0,60)</f>
        <v>0</v>
      </c>
      <c r="L126" s="1825">
        <f>IF(bern,55,35)</f>
        <v>55</v>
      </c>
      <c r="M126" s="744">
        <f>L126+G157</f>
        <v>55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Chaleur à distance (max. 25% énergies ren., rejets, CCF)</v>
      </c>
      <c r="U126" s="45">
        <v>19</v>
      </c>
      <c r="V126" s="53" t="str">
        <f>Uebersetzung!D219</f>
        <v>Pompe à chaleur géothermique, chauffage</v>
      </c>
      <c r="W126" s="120" t="str">
        <f>Uebersetzung!D174</f>
        <v>Pompe à chaleur géothermique, que chauffage</v>
      </c>
      <c r="X126" s="594">
        <v>3.1</v>
      </c>
      <c r="Y126" s="594">
        <v>10</v>
      </c>
      <c r="Z126" s="228">
        <v>2</v>
      </c>
      <c r="AA126" s="235"/>
      <c r="AB126" s="45">
        <v>1</v>
      </c>
      <c r="AC126" s="156">
        <v>44</v>
      </c>
      <c r="AD126" s="428" t="str">
        <f>Uebersetzung!D695</f>
        <v>Longueur totale de toutes les sondes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0</v>
      </c>
      <c r="L127" s="693">
        <f>IF(bern,45,35)</f>
        <v>45</v>
      </c>
      <c r="M127" s="744">
        <f>L127+O157</f>
        <v>45</v>
      </c>
      <c r="N127" s="744">
        <f t="shared" si="33"/>
        <v>0</v>
      </c>
      <c r="O127" s="745">
        <f t="shared" si="34"/>
        <v>0</v>
      </c>
      <c r="P127" s="745">
        <f t="shared" si="35"/>
        <v>0</v>
      </c>
      <c r="Q127" s="748">
        <f t="shared" si="36"/>
        <v>0</v>
      </c>
      <c r="R127" s="745">
        <f>O157</f>
        <v>0</v>
      </c>
      <c r="S127" s="27"/>
      <c r="T127" s="43" t="str">
        <f t="shared" si="29"/>
        <v>Chauffage au bois</v>
      </c>
      <c r="U127" s="45">
        <v>20</v>
      </c>
      <c r="V127" s="53" t="str">
        <f>Uebersetzung!D220</f>
        <v>Pompe à chaleur géothermique, eau chaude</v>
      </c>
      <c r="W127" s="120" t="str">
        <f>Uebersetzung!D175</f>
        <v>Pompe à chaleur géothermique, qu'eau chaude</v>
      </c>
      <c r="X127" s="594">
        <v>2.7</v>
      </c>
      <c r="Y127" s="594">
        <v>7</v>
      </c>
      <c r="Z127" s="228">
        <v>2</v>
      </c>
      <c r="AA127" s="235">
        <v>1</v>
      </c>
      <c r="AB127" s="45"/>
      <c r="AC127" s="156">
        <v>9</v>
      </c>
      <c r="AD127" s="428" t="str">
        <f>Uebersetzung!D695</f>
        <v>Longueur totale de toutes les sondes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Bern  Liebefeld</v>
      </c>
      <c r="H128" s="27">
        <v>4</v>
      </c>
      <c r="I128" s="43" t="s">
        <v>5</v>
      </c>
      <c r="J128" s="42" t="s">
        <v>1</v>
      </c>
      <c r="K128" s="45">
        <f>IF(bern,0,55)</f>
        <v>0</v>
      </c>
      <c r="L128" s="693">
        <f>IF(bern,80,40)</f>
        <v>80</v>
      </c>
      <c r="M128" s="744">
        <f>L128+W157</f>
        <v>80</v>
      </c>
      <c r="N128" s="744">
        <f t="shared" si="33"/>
        <v>0</v>
      </c>
      <c r="O128" s="745">
        <f t="shared" si="34"/>
        <v>0</v>
      </c>
      <c r="P128" s="745">
        <f t="shared" si="35"/>
        <v>0</v>
      </c>
      <c r="Q128" s="748">
        <f t="shared" si="36"/>
        <v>0</v>
      </c>
      <c r="R128" s="745">
        <f>W157</f>
        <v>0</v>
      </c>
      <c r="S128" s="27"/>
      <c r="T128" s="43" t="str">
        <f t="shared" si="29"/>
        <v>Chauffage au pellets</v>
      </c>
      <c r="U128" s="45">
        <v>21</v>
      </c>
      <c r="V128" s="53" t="str">
        <f>Uebersetzung!D221</f>
        <v>Pompe à chaleur eau usée (directe), chauffage</v>
      </c>
      <c r="W128" s="120" t="str">
        <f>Uebersetzung!D176</f>
        <v>Pompe à chaleur eau usée, que chauffage</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Adelboden</v>
      </c>
      <c r="H129" s="27">
        <v>5</v>
      </c>
      <c r="I129" s="43" t="s">
        <v>7</v>
      </c>
      <c r="J129" s="42" t="s">
        <v>2</v>
      </c>
      <c r="K129" s="45">
        <f>IF(bern,0,55)</f>
        <v>0</v>
      </c>
      <c r="L129" s="693">
        <f>IF(bern,40,35)</f>
        <v>40</v>
      </c>
      <c r="M129" s="744">
        <f>L129+AE157</f>
        <v>40</v>
      </c>
      <c r="N129" s="744">
        <f t="shared" si="33"/>
        <v>0</v>
      </c>
      <c r="O129" s="745">
        <f t="shared" si="34"/>
        <v>0</v>
      </c>
      <c r="P129" s="745">
        <f t="shared" si="35"/>
        <v>0</v>
      </c>
      <c r="Q129" s="748">
        <f t="shared" si="36"/>
        <v>0</v>
      </c>
      <c r="R129" s="745">
        <f>AE157</f>
        <v>0</v>
      </c>
      <c r="S129" s="27"/>
      <c r="T129" s="43" t="str">
        <f t="shared" si="29"/>
        <v>Capteurs solaires thermiques, que chauffage</v>
      </c>
      <c r="U129" s="45">
        <v>22</v>
      </c>
      <c r="V129" s="53" t="str">
        <f>Uebersetzung!D222</f>
        <v>Pompe à chaleur eau usée directe, eau chaude</v>
      </c>
      <c r="W129" s="120" t="str">
        <f>Uebersetzung!D177</f>
        <v>Pompe à chaleur eau usée, qu'eau chaude</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0</v>
      </c>
      <c r="L130" s="693">
        <f>IF(bern,100,40)</f>
        <v>100</v>
      </c>
      <c r="M130" s="744">
        <f>L130+AM157</f>
        <v>100</v>
      </c>
      <c r="N130" s="744">
        <f t="shared" si="33"/>
        <v>0</v>
      </c>
      <c r="O130" s="745">
        <f t="shared" si="34"/>
        <v>0</v>
      </c>
      <c r="P130" s="745">
        <f t="shared" si="35"/>
        <v>0</v>
      </c>
      <c r="Q130" s="748">
        <f t="shared" si="36"/>
        <v>0</v>
      </c>
      <c r="R130" s="745">
        <f>AM157</f>
        <v>0</v>
      </c>
      <c r="S130" s="27"/>
      <c r="T130" s="43" t="str">
        <f t="shared" si="29"/>
        <v>Capteurs solaires thermiques, qu'eau chaude</v>
      </c>
      <c r="U130" s="45">
        <v>23</v>
      </c>
      <c r="V130" s="53" t="str">
        <f>Uebersetzung!D223</f>
        <v>Pompe à chaleur eau-eau, chauffage</v>
      </c>
      <c r="W130" s="120" t="str">
        <f>Uebersetzung!D178</f>
        <v>Pompe à chaleur eau-eau, que chauffage</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0</v>
      </c>
      <c r="L131" s="1878">
        <f>IF(bern,80,45)</f>
        <v>80</v>
      </c>
      <c r="M131" s="744">
        <f>L131+AU157</f>
        <v>80</v>
      </c>
      <c r="N131" s="744">
        <f t="shared" si="33"/>
        <v>0</v>
      </c>
      <c r="O131" s="745">
        <f t="shared" si="34"/>
        <v>0</v>
      </c>
      <c r="P131" s="745">
        <f t="shared" si="35"/>
        <v>0</v>
      </c>
      <c r="Q131" s="748">
        <f t="shared" si="36"/>
        <v>0</v>
      </c>
      <c r="R131" s="745">
        <f>AU157</f>
        <v>0</v>
      </c>
      <c r="S131" s="27"/>
      <c r="T131" s="43" t="str">
        <f t="shared" si="29"/>
        <v>Capteurs solaires thermiques, chauffage et eau chaude</v>
      </c>
      <c r="U131" s="45">
        <v>24</v>
      </c>
      <c r="V131" s="53" t="str">
        <f>Uebersetzung!D224</f>
        <v>Pompe à chaleur eau-eau, eau chaude</v>
      </c>
      <c r="W131" s="120" t="str">
        <f>Uebersetzung!D179</f>
        <v>Pompe à chaleur eau-eau, qu'eau chaude</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0</v>
      </c>
      <c r="L132" s="693">
        <f>IF(bern,70,40)</f>
        <v>70</v>
      </c>
      <c r="M132" s="744">
        <f>L132+BC157</f>
        <v>70</v>
      </c>
      <c r="N132" s="744">
        <f t="shared" si="33"/>
        <v>0</v>
      </c>
      <c r="O132" s="745">
        <f t="shared" si="34"/>
        <v>0</v>
      </c>
      <c r="P132" s="745">
        <f t="shared" si="35"/>
        <v>0</v>
      </c>
      <c r="Q132" s="748">
        <f t="shared" si="36"/>
        <v>0</v>
      </c>
      <c r="R132" s="745">
        <f>BC157</f>
        <v>0</v>
      </c>
      <c r="S132" s="27"/>
      <c r="T132" s="43" t="str">
        <f t="shared" si="29"/>
        <v>Chauffage central électrique</v>
      </c>
      <c r="U132" s="45">
        <v>25</v>
      </c>
      <c r="V132" s="53" t="str">
        <f>Uebersetzung!D225</f>
        <v>Pompe à chaleur eau souterraine, directe, chauffage</v>
      </c>
      <c r="W132" s="120" t="str">
        <f>Uebersetzung!D180</f>
        <v>Pompe à chaleur eau souterraine, directe, que chauffage</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0</v>
      </c>
      <c r="L133" s="693">
        <f>IF(bern,110,70)</f>
        <v>110</v>
      </c>
      <c r="M133" s="744">
        <f>L133+BK157</f>
        <v>110</v>
      </c>
      <c r="N133" s="744">
        <f t="shared" si="33"/>
        <v>0</v>
      </c>
      <c r="O133" s="745">
        <f t="shared" si="34"/>
        <v>0</v>
      </c>
      <c r="P133" s="745">
        <f t="shared" si="35"/>
        <v>0</v>
      </c>
      <c r="Q133" s="748">
        <f t="shared" si="36"/>
        <v>0</v>
      </c>
      <c r="R133" s="745">
        <f>BK157</f>
        <v>0</v>
      </c>
      <c r="S133" s="27"/>
      <c r="T133" s="43" t="str">
        <f t="shared" si="29"/>
        <v>Chauffage électrique direct</v>
      </c>
      <c r="U133" s="45">
        <v>26</v>
      </c>
      <c r="V133" s="53" t="str">
        <f>Uebersetzung!D226</f>
        <v>Pompe à chaleur eau souterraine, directe, eau chaude</v>
      </c>
      <c r="W133" s="120" t="str">
        <f>Uebersetzung!D181</f>
        <v>Pompe à chaleur eau souterraine, directe, qu'eau chaude</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0</v>
      </c>
      <c r="L134" s="693">
        <f>IF(bern,60,20)</f>
        <v>60</v>
      </c>
      <c r="M134" s="744">
        <f>L134+BS157</f>
        <v>60</v>
      </c>
      <c r="N134" s="744">
        <f t="shared" si="33"/>
        <v>0</v>
      </c>
      <c r="O134" s="745">
        <f t="shared" si="34"/>
        <v>0</v>
      </c>
      <c r="P134" s="745">
        <f t="shared" si="35"/>
        <v>0</v>
      </c>
      <c r="Q134" s="748">
        <f t="shared" si="36"/>
        <v>0</v>
      </c>
      <c r="R134" s="745">
        <f>BS157</f>
        <v>0</v>
      </c>
      <c r="S134" s="27"/>
      <c r="T134" s="43" t="str">
        <f t="shared" si="29"/>
        <v>Chauffe-eau électrique</v>
      </c>
      <c r="U134" s="45">
        <v>27</v>
      </c>
      <c r="V134" s="53" t="str">
        <f>Uebersetzung!D227</f>
        <v>Pompe à chaleur eau souterraine, indirecte, chauffage</v>
      </c>
      <c r="W134" s="120" t="str">
        <f>Uebersetzung!D182</f>
        <v>Pompe à chaleur eau souterraine, indirecte, que chauffage</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0</v>
      </c>
      <c r="L135" s="693">
        <f>IF(bern,50,20)</f>
        <v>50</v>
      </c>
      <c r="M135" s="744">
        <f>L135+CA157</f>
        <v>50</v>
      </c>
      <c r="N135" s="744">
        <f t="shared" si="33"/>
        <v>0</v>
      </c>
      <c r="O135" s="745">
        <f t="shared" si="34"/>
        <v>0</v>
      </c>
      <c r="P135" s="745">
        <f t="shared" si="35"/>
        <v>0</v>
      </c>
      <c r="Q135" s="748">
        <f t="shared" si="36"/>
        <v>0</v>
      </c>
      <c r="R135" s="745">
        <f>CA157</f>
        <v>0</v>
      </c>
      <c r="S135" s="27"/>
      <c r="T135" s="43" t="str">
        <f t="shared" si="29"/>
        <v>Rubans chauffants</v>
      </c>
      <c r="U135" s="45">
        <v>28</v>
      </c>
      <c r="V135" s="53" t="str">
        <f>Uebersetzung!D228</f>
        <v>Pompe à chaleur eau souterraine, indirecte, eau chaude</v>
      </c>
      <c r="W135" s="120" t="str">
        <f>Uebersetzung!D183</f>
        <v>Pompe à chaleur eau souterraine, indirecte, qu'eau chaude</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0</v>
      </c>
      <c r="L136" s="1878">
        <f>IF(bern,50,25)</f>
        <v>50</v>
      </c>
      <c r="M136" s="744">
        <f>L136+CI157</f>
        <v>50</v>
      </c>
      <c r="N136" s="744">
        <f t="shared" si="33"/>
        <v>0</v>
      </c>
      <c r="O136" s="745">
        <f t="shared" si="34"/>
        <v>0</v>
      </c>
      <c r="P136" s="745">
        <f t="shared" si="35"/>
        <v>0</v>
      </c>
      <c r="Q136" s="748">
        <f t="shared" si="36"/>
        <v>0</v>
      </c>
      <c r="R136" s="745">
        <f>CI157</f>
        <v>0</v>
      </c>
      <c r="S136" s="27"/>
      <c r="T136" s="43" t="str">
        <f t="shared" si="29"/>
        <v>Chaudière à mazout</v>
      </c>
      <c r="U136" s="45">
        <v>29</v>
      </c>
      <c r="V136" s="53" t="str">
        <f>Uebersetzung!D229</f>
        <v>Pompe à chaleur registre terrestre, chauffage</v>
      </c>
      <c r="W136" s="120" t="str">
        <f>Uebersetzung!D184</f>
        <v>Pompe à chaleur registre terrestre, que chauffage</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Chaudière à mazout à condensation, que chauffage</v>
      </c>
      <c r="U137" s="45">
        <v>30</v>
      </c>
      <c r="V137" s="53" t="str">
        <f>Uebersetzung!D230</f>
        <v>Pompe à chaleur registre terrestre, eau chaude</v>
      </c>
      <c r="W137" s="120" t="str">
        <f>Uebersetzung!D185</f>
        <v>Pompe à chaleur registre terrestre, qu'eau chaude</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 xml:space="preserve">Chaudière à mazout à condensation, qu'eau chaude </v>
      </c>
      <c r="U138" s="45">
        <v>31</v>
      </c>
      <c r="V138" s="53" t="str">
        <f>Uebersetzung!D231</f>
        <v>Capteurs solaires thermiques, chauffage</v>
      </c>
      <c r="W138" s="120" t="str">
        <f>Uebersetzung!D186</f>
        <v>Capteurs solaires thermiques, que chauffage</v>
      </c>
      <c r="X138" s="303">
        <v>1</v>
      </c>
      <c r="Y138" s="303">
        <v>1</v>
      </c>
      <c r="Z138" s="303">
        <v>0</v>
      </c>
      <c r="AA138" s="235"/>
      <c r="AB138" s="45">
        <v>1</v>
      </c>
      <c r="AC138" s="156">
        <v>4</v>
      </c>
      <c r="AD138" s="428" t="str">
        <f>Uebersetzung!D250</f>
        <v>Surface d'absorbeur [m2]</v>
      </c>
      <c r="AE138" s="925" t="str">
        <f>Uebersetzung!D252</f>
        <v>Apport net par m2 d'absorbeur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Chaudière à gaz</v>
      </c>
      <c r="U139" s="45">
        <v>32</v>
      </c>
      <c r="V139" s="53" t="str">
        <f>Uebersetzung!D232</f>
        <v>Capteurs solaires thermiques, eau chaude</v>
      </c>
      <c r="W139" s="120" t="str">
        <f>Uebersetzung!D187</f>
        <v>Capteurs solaires thermiques, qu'eau chaude</v>
      </c>
      <c r="X139" s="303">
        <v>1</v>
      </c>
      <c r="Y139" s="303">
        <v>1</v>
      </c>
      <c r="Z139" s="303">
        <v>0</v>
      </c>
      <c r="AA139" s="235">
        <v>1</v>
      </c>
      <c r="AB139" s="45"/>
      <c r="AC139" s="156">
        <v>5</v>
      </c>
      <c r="AD139" s="428" t="str">
        <f>AD138</f>
        <v>Surface d'absorbeur [m2]</v>
      </c>
      <c r="AE139" s="428" t="str">
        <f>AE138</f>
        <v>Apport net par m2 d'absorbeur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Chaudière à gaz à condensation, que chauffage</v>
      </c>
      <c r="U140" s="45">
        <v>33</v>
      </c>
      <c r="V140" s="53" t="str">
        <f>Uebersetzung!D233</f>
        <v>Capteurs solaires thermiques, chauffage et eau chaude</v>
      </c>
      <c r="W140" s="120" t="str">
        <f>Uebersetzung!D188</f>
        <v>Capteurs solaires thermiques, chauffage et eau chaude</v>
      </c>
      <c r="X140" s="303">
        <v>1</v>
      </c>
      <c r="Y140" s="303">
        <v>1</v>
      </c>
      <c r="Z140" s="303">
        <v>0</v>
      </c>
      <c r="AA140" s="235">
        <v>1</v>
      </c>
      <c r="AB140" s="45">
        <v>1</v>
      </c>
      <c r="AC140" s="156">
        <v>6</v>
      </c>
      <c r="AD140" s="428" t="str">
        <f>AD138</f>
        <v>Surface d'absorbeur [m2]</v>
      </c>
      <c r="AE140" s="428" t="str">
        <f>AE138</f>
        <v>Apport net par m2 d'absorbeur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2*Entrées!$F$52*Entrées!$E$53/1000*(Entrées!$I$53+0.4*(1-Entrées!$I$53))</f>
        <v>0</v>
      </c>
      <c r="T141" s="43" t="str">
        <f t="shared" si="29"/>
        <v>Chaudière à gaz à condensation, qu'eau chaude</v>
      </c>
      <c r="U141" s="45">
        <v>34</v>
      </c>
      <c r="V141" s="53" t="str">
        <f>Uebersetzung!D466</f>
        <v>Rubans chauffants</v>
      </c>
      <c r="W141" s="120" t="str">
        <f>Uebersetzung!D466</f>
        <v>Rubans chauffants</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Chauffe-eau à gaz</v>
      </c>
      <c r="U142" s="45">
        <v>35</v>
      </c>
      <c r="V142" s="53" t="str">
        <f>Uebersetzung!D190</f>
        <v>Rejets thermiques issus de climatisation</v>
      </c>
      <c r="W142" s="53" t="str">
        <f>Uebersetzung!D190</f>
        <v>Rejets thermiques issus de climatisation</v>
      </c>
      <c r="X142" s="2348">
        <v>10</v>
      </c>
      <c r="Y142" s="2348">
        <v>10</v>
      </c>
      <c r="Z142" s="2348">
        <v>2</v>
      </c>
      <c r="AA142" s="2350">
        <v>1</v>
      </c>
      <c r="AB142" s="2350"/>
      <c r="AC142" s="156">
        <v>8</v>
      </c>
      <c r="AD142" s="925" t="str">
        <f>Uebersetzung!D567</f>
        <v>Rendement de climatisation  (EER)</v>
      </c>
      <c r="AE142" s="925" t="str">
        <f>Uebersetzung!D566</f>
        <v>Températures des rejets thermique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IF(Entrées!O$2&gt;0,IF(bern,MINERGIE!O44,2*(0.85*(Entrées!F$23*800+20*0.8*Entrées!O$2)+100*Entrées!F$23)/Entrées!O$2),0)</f>
        <v>0</v>
      </c>
      <c r="O143" s="745">
        <f>IF(Entrées!P$2&gt;0,IF(bern,MINERGIE!P44,2*(0.85*(Entrées!G$23*800+20*0.8*Entrées!P$2)+100*Entrées!G$23)/Entrées!P$2),0)</f>
        <v>0</v>
      </c>
      <c r="P143" s="745">
        <f>IF(Entrées!Q$2&gt;0,IF(bern,MINERGIE!Q44,2*(0.85*(Entrées!H$23*800+20*0.8*Entrées!Q$2)+100*Entrées!H$23)/Entrées!Q$2),0)</f>
        <v>0</v>
      </c>
      <c r="Q143" s="745">
        <f>IF(Entrées!R$2&gt;0,IF(bern,MINERGIE!R44,2*(0.85*(Entrées!I$23*800+20*0.8*Entrées!R$2)+100*Entrées!I$23)/Entrées!R$2),0)</f>
        <v>0</v>
      </c>
      <c r="R143" s="745">
        <f>2*Entrées!$F$52*Entrées!$E$53/1000*(Entrées!$I$53+0.4*(1-Entrées!$I$53))</f>
        <v>0</v>
      </c>
      <c r="T143" s="43" t="str">
        <f t="shared" si="29"/>
        <v>Pompe à chaleur à gaz, seul. chauffage</v>
      </c>
      <c r="U143" s="45">
        <v>36</v>
      </c>
      <c r="V143" s="1794" t="str">
        <f>Uebersetzung!D191</f>
        <v>Rejets thermiques issus de froid industriel</v>
      </c>
      <c r="W143" s="53" t="str">
        <f>Uebersetzung!D191</f>
        <v>Rejets thermiques issus de froid industriel</v>
      </c>
      <c r="X143" s="2348">
        <v>10</v>
      </c>
      <c r="Y143" s="2348">
        <v>10</v>
      </c>
      <c r="Z143" s="2348">
        <v>2</v>
      </c>
      <c r="AA143" s="2350">
        <v>1</v>
      </c>
      <c r="AB143" s="2350">
        <v>1</v>
      </c>
      <c r="AC143" s="156">
        <v>47</v>
      </c>
      <c r="AD143" s="925" t="str">
        <f>Uebersetzung!D565</f>
        <v>Rejets thermiques  [kWh]</v>
      </c>
      <c r="AE143" s="925" t="str">
        <f>Uebersetzung!D566</f>
        <v>Températures des rejets thermique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IF(Entrées!O$2&gt;0,IF(bern,MINERGIE!O44,2*0.85*(Entrées!F$23*800+20*0.8*Entrées!O$2)/Entrées!O$2),0)</f>
        <v>0</v>
      </c>
      <c r="O144" s="745">
        <f>IF(Entrées!P$2&gt;0,IF(bern,MINERGIE!P44,2*0.85*(Entrées!G$23*800+20*0.8*Entrées!P$2)/Entrées!P$2),0)</f>
        <v>0</v>
      </c>
      <c r="P144" s="745">
        <f>IF(Entrées!Q$2&gt;0,IF(bern,MINERGIE!Q44,2*0.85*(Entrées!H$23*800+20*0.8*Entrées!Q$2)/Entrées!Q$2),0)</f>
        <v>0</v>
      </c>
      <c r="Q144" s="745">
        <f>IF(Entrées!R$2&gt;0,IF(bern,MINERGIE!R44,2*0.85*(Entrées!I$23*800+20*0.8*Entrées!R$2)/Entrées!R$2),0)</f>
        <v>0</v>
      </c>
      <c r="R144" s="745">
        <f>2*Entrées!$F$52*Entrées!$E$53/1000*(Entrées!$I$53+0.4*(1-Entrées!$I$53))</f>
        <v>0</v>
      </c>
      <c r="T144" s="43" t="str">
        <f t="shared" si="29"/>
        <v>Pompe à chaleur à gaz, seul. eau chaude</v>
      </c>
      <c r="U144" s="45">
        <v>37</v>
      </c>
      <c r="V144" s="53" t="str">
        <f>Uebersetzung!D237</f>
        <v>PAC air fourni/repris avec récup. de chaleur</v>
      </c>
      <c r="W144" s="120" t="str">
        <f>Uebersetzung!D192</f>
        <v>Aération avec PAC air repris/fourni et récup. de chaleur</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IF(EBF_Zweckneubau&lt;1000.1,$K145,IF(Entrées!F$24*2&gt;0,Entrées!F$24*2,$K145))+$L145+$M145</f>
        <v>60</v>
      </c>
      <c r="O145" s="45">
        <f>IF(EBF_Zweckneubau&lt;1000.1,$K145,IF(Entrées!G$24*2&gt;0,Entrées!G$24*2,$K145))+$L145+$M145</f>
        <v>60</v>
      </c>
      <c r="P145" s="45">
        <f>IF(EBF_Zweckneubau&lt;1000.1,$K145,IF(Entrées!H$24*2&gt;0,Entrées!H$24*2,$K145))+$L145+$M145</f>
        <v>60</v>
      </c>
      <c r="Q145" s="45">
        <f>IF(EBF_Zweckneubau&lt;1000.1,$K145,IF(Entrées!I$24*2&gt;0,Entrées!I$24*2,$K145))+$L145+$M145</f>
        <v>60</v>
      </c>
      <c r="R145" s="745">
        <f>2*Entrées!$F$52*Entrées!$E$53/1000*(Entrées!$I$53+0.4*(1-Entrées!$I$53))</f>
        <v>0</v>
      </c>
      <c r="T145" s="43" t="str">
        <f t="shared" si="29"/>
        <v>CCF (fossile) - part thermique et électrique</v>
      </c>
      <c r="U145" s="45">
        <v>38</v>
      </c>
      <c r="V145" s="53" t="str">
        <f>Uebersetzung!D238</f>
        <v>PAC air fourni/repris sans récup. de chaleur</v>
      </c>
      <c r="W145" s="120" t="str">
        <f>Uebersetzung!D193</f>
        <v>Aération avec PAC air repris/fourni sans récup. de chaleur</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IF(EBF_Zweckneubau&lt;1000.1,$K146,IF(Entrées!F$24*2&gt;0,Entrées!F$24*2,$K146))+$L146+$M146</f>
        <v>33</v>
      </c>
      <c r="O146" s="45">
        <f>IF(EBF_Zweckneubau&lt;1000.1,$K146,IF(Entrées!G$24*2&gt;0,Entrées!G$24*2,$K146))+$L146+$M146</f>
        <v>33</v>
      </c>
      <c r="P146" s="45">
        <f>IF(EBF_Zweckneubau&lt;1000.1,$K146,IF(Entrées!H$24*2&gt;0,Entrées!H$24*2,$K146))+$L146+$M146</f>
        <v>33</v>
      </c>
      <c r="Q146" s="45">
        <f>IF(EBF_Zweckneubau&lt;1000.1,$K146,IF(Entrées!I$24*2&gt;0,Entrées!I$24*2,$K146))+$L146+$M146</f>
        <v>33</v>
      </c>
      <c r="R146" s="745">
        <f>2*Entrées!$F$52*Entrées!$E$53/1000*(Entrées!$I$53+0.4*(1-Entrées!$I$53))</f>
        <v>0</v>
      </c>
      <c r="T146" s="43" t="str">
        <f t="shared" si="29"/>
        <v>CCF (bois) - part thermique et électrique</v>
      </c>
      <c r="U146" s="45">
        <v>39</v>
      </c>
      <c r="V146" s="53" t="str">
        <f>Uebersetzung!D239</f>
        <v>PAC air repris sans air fourni</v>
      </c>
      <c r="W146" s="120" t="str">
        <f>Uebersetzung!D194</f>
        <v>Aération air repris avec PAC (sans air fourni)</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IF(EBF_Zweckneubau&lt;1000.1,$K147,IF(Entrées!F$24*2&gt;0,Entrées!F$24*2,$K147))+$L147+$M147</f>
        <v>86</v>
      </c>
      <c r="O147" s="45">
        <f>IF(EBF_Zweckneubau&lt;1000.1,$K147,IF(Entrées!G$24*2&gt;0,Entrées!G$24*2,$K147))+$L147+$M147</f>
        <v>86</v>
      </c>
      <c r="P147" s="45">
        <f>IF(EBF_Zweckneubau&lt;1000.1,$K147,IF(Entrées!H$24*2&gt;0,Entrées!H$24*2,$K147))+$L147+$M147</f>
        <v>86</v>
      </c>
      <c r="Q147" s="45">
        <f>IF(EBF_Zweckneubau&lt;1000.1,$K147,IF(Entrées!I$24*2&gt;0,Entrées!I$24*2,$K147))+$L147+$M147</f>
        <v>86</v>
      </c>
      <c r="R147" s="745">
        <f>2*Entrées!$F$52*Entrées!$E$53/1000*(Entrées!$I$53+0.4*(1-Entrées!$I$53))</f>
        <v>0</v>
      </c>
      <c r="T147" s="43" t="str">
        <f t="shared" si="29"/>
        <v>Aération avec PAC air repris/fourni et récup. de chaleur</v>
      </c>
      <c r="U147" s="45">
        <v>40</v>
      </c>
      <c r="V147" s="53" t="str">
        <f>Uebersetzung!D240</f>
        <v>PAC compacte avec récup. de chaleur</v>
      </c>
      <c r="W147" s="120" t="str">
        <f>Uebersetzung!D195</f>
        <v>PAC compacte avec air fourni/repris avec récup. de chaleur</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IF(EBF_Zweckneubau&lt;1000.1,$K148,IF(Entrées!F$24*2&gt;0,Entrées!F$24*2,$K148))+$L148+$M148</f>
        <v>47</v>
      </c>
      <c r="O148" s="45">
        <f>IF(EBF_Zweckneubau&lt;1000.1,$K148,IF(Entrées!G$24*2&gt;0,Entrées!G$24*2,$K148))+$L148+$M148</f>
        <v>47</v>
      </c>
      <c r="P148" s="45">
        <f>IF(EBF_Zweckneubau&lt;1000.1,$K148,IF(Entrées!H$24*2&gt;0,Entrées!H$24*2,$K148))+$L148+$M148</f>
        <v>47</v>
      </c>
      <c r="Q148" s="45">
        <f>IF(EBF_Zweckneubau&lt;1000.1,$K148,IF(Entrées!I$24*2&gt;0,Entrées!I$24*2,$K148))+$L148+$M148</f>
        <v>47</v>
      </c>
      <c r="R148" s="745">
        <f>2*Entrées!$F$52*Entrées!$E$53/1000*(Entrées!$I$53+0.4*(1-Entrées!$I$53))</f>
        <v>0</v>
      </c>
      <c r="T148" s="43" t="str">
        <f t="shared" si="29"/>
        <v>Aération avec PAC air repris/fourni sans récup. de chaleur</v>
      </c>
      <c r="U148" s="45">
        <v>41</v>
      </c>
      <c r="V148" s="53" t="str">
        <f>Uebersetzung!D241</f>
        <v>PAC compacte sans récup. de chaleur, chauffage</v>
      </c>
      <c r="W148" s="120" t="str">
        <f>Uebersetzung!D196</f>
        <v>PAC compacte avec air fourni/repris sans récup. de chaleur (que chauffage)</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IF(EBF_Zweckneubau&lt;1000.1,$K149,IF(Entrées!F$24*2&gt;0,Entrées!F$24*2,$K149))+$L149+$M149</f>
        <v>49</v>
      </c>
      <c r="O149" s="45">
        <f>IF(EBF_Zweckneubau&lt;1000.1,$K149,IF(Entrées!G$24*2&gt;0,Entrées!G$24*2,$K149))+$L149+$M149</f>
        <v>49</v>
      </c>
      <c r="P149" s="45">
        <f>IF(EBF_Zweckneubau&lt;1000.1,$K149,IF(Entrées!H$24*2&gt;0,Entrées!H$24*2,$K149))+$L149+$M149</f>
        <v>49</v>
      </c>
      <c r="Q149" s="45">
        <f>IF(EBF_Zweckneubau&lt;1000.1,$K149,IF(Entrées!I$24*2&gt;0,Entrées!I$24*2,$K149))+$L149+$M149</f>
        <v>49</v>
      </c>
      <c r="R149" s="745">
        <f>2*Entrées!$F$52*Entrées!$E$53/1000*(Entrées!$I$53+0.4*(1-Entrées!$I$53))</f>
        <v>0</v>
      </c>
      <c r="T149" s="43" t="str">
        <f t="shared" si="29"/>
        <v>Aération air repris avec PAC (sans air fourni)</v>
      </c>
      <c r="U149" s="45">
        <v>42</v>
      </c>
      <c r="V149" s="53" t="str">
        <f>Uebersetzung!D242</f>
        <v>PAC compacte sans récup. de chaleur, eau chaude</v>
      </c>
      <c r="W149" s="120" t="str">
        <f>Uebersetzung!D197</f>
        <v>PAC compacte avec air fourni/repris sans récup. de chaleur (qu'eau chaude)</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IF(EBF_Zweckneubau&lt;1000.1,$K150,IF(Entrées!F$24*2&gt;0,Entrées!F$24*2,$K150))+$L150+$M150</f>
        <v>60</v>
      </c>
      <c r="O150" s="45">
        <f>IF(EBF_Zweckneubau&lt;1000.1,$K150,IF(Entrées!G$24*2&gt;0,Entrées!G$24*2,$K150))+$L150+$M150</f>
        <v>60</v>
      </c>
      <c r="P150" s="45">
        <f>IF(EBF_Zweckneubau&lt;1000.1,$K150,IF(Entrées!H$24*2&gt;0,Entrées!H$24*2,$K150))+$L150+$M150</f>
        <v>60</v>
      </c>
      <c r="Q150" s="45">
        <f>IF(EBF_Zweckneubau&lt;1000.1,$K150,IF(Entrées!I$24*2&gt;0,Entrées!I$24*2,$K150))+$L150+$M150</f>
        <v>60</v>
      </c>
      <c r="R150" s="745">
        <f>2*Entrées!$F$52*Entrées!$E$53/1000*(Entrées!$I$53+0.4*(1-Entrées!$I$53))</f>
        <v>0</v>
      </c>
      <c r="T150" s="43" t="str">
        <f t="shared" si="29"/>
        <v>PAC compacte avec air fourni/repris avec récup. de chaleur</v>
      </c>
      <c r="U150" s="45">
        <v>43</v>
      </c>
      <c r="V150" s="2346" t="str">
        <f>Uebersetzung!D243</f>
        <v>Biomasse, connectée</v>
      </c>
      <c r="W150" s="2347" t="str">
        <f>Uebersetzung!D198</f>
        <v>Biomasse, connectée au réseau hydraulique</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IF(EBF_Zweckneubau&lt;1000.1,$K151,IF(Entrées!F$24*2&gt;0,Entrées!F$24*2,$K151))+$L151+$M151</f>
        <v>54</v>
      </c>
      <c r="O151" s="45">
        <f>IF(EBF_Zweckneubau&lt;1000.1,$K151,IF(Entrées!G$24*2&gt;0,Entrées!G$24*2,$K151))+$L151+$M151</f>
        <v>54</v>
      </c>
      <c r="P151" s="45">
        <f>IF(EBF_Zweckneubau&lt;1000.1,$K151,IF(Entrées!H$24*2&gt;0,Entrées!H$24*2,$K151))+$L151+$M151</f>
        <v>54</v>
      </c>
      <c r="Q151" s="45">
        <f>IF(EBF_Zweckneubau&lt;1000.1,$K151,IF(Entrées!I$24*2&gt;0,Entrées!I$24*2,$K151))+$L151+$M151</f>
        <v>54</v>
      </c>
      <c r="R151" s="745">
        <f>2*Entrées!$F$52*Entrées!$E$53/1000*(Entrées!$I$53+0.4*(1-Entrées!$I$53))</f>
        <v>0</v>
      </c>
      <c r="T151" s="43" t="str">
        <f t="shared" si="29"/>
        <v>PAC compacte avec air fourni/repris sans récup. de chaleur (que chauffage)</v>
      </c>
      <c r="U151" s="45">
        <v>44</v>
      </c>
      <c r="V151" s="2346" t="str">
        <f>Uebersetzung!D244</f>
        <v>Chaleur à distance (&lt;=25% renouvelable)</v>
      </c>
      <c r="W151" s="2347" t="str">
        <f>Uebersetzung!D199</f>
        <v>Chaleur à distance (max. 25% énergies ren., rejets, CCF)</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IF(EBF_Zweckneubau&lt;1000.1,$K152,IF(Entrées!F$24*2&gt;0,Entrées!F$24*2,$K152))+$L152+$M152</f>
        <v>48</v>
      </c>
      <c r="O152" s="45">
        <f>IF(EBF_Zweckneubau&lt;1000.1,$K152,IF(Entrées!G$24*2&gt;0,Entrées!G$24*2,$K152))+$L152+$M152</f>
        <v>48</v>
      </c>
      <c r="P152" s="45">
        <f>IF(EBF_Zweckneubau&lt;1000.1,$K152,IF(Entrées!H$24*2&gt;0,Entrées!H$24*2,$K152))+$L152+$M152</f>
        <v>48</v>
      </c>
      <c r="Q152" s="45">
        <f>IF(EBF_Zweckneubau&lt;1000.1,$K152,IF(Entrées!I$24*2&gt;0,Entrées!I$24*2,$K152))+$L152+$M152</f>
        <v>48</v>
      </c>
      <c r="R152" s="745">
        <f>2*Entrées!$F$52*Entrées!$E$53/1000*(Entrées!$I$53+0.4*(1-Entrées!$I$53))</f>
        <v>0</v>
      </c>
      <c r="T152" s="43" t="str">
        <f t="shared" si="29"/>
        <v>PAC compacte avec air fourni/repris sans récup. de chaleur (qu'eau chaude)</v>
      </c>
      <c r="U152" s="45">
        <v>45</v>
      </c>
      <c r="V152" s="2346" t="str">
        <f>Uebersetzung!D245</f>
        <v>Chaleur à distance (&gt;25% renouvelable)</v>
      </c>
      <c r="W152" s="2347" t="str">
        <f>Uebersetzung!D200</f>
        <v>Chaleur à distance (min. 25% énergies ren., rejets, CCF)</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IF(EBF_Zweckneubau&lt;1000.1,$K153,IF(Entrées!F$24*2&gt;0,Entrées!F$24*2,$K153))+$L153+$M153</f>
        <v>38</v>
      </c>
      <c r="O153" s="45">
        <f>IF(EBF_Zweckneubau&lt;1000.1,$K153,IF(Entrées!G$24*2&gt;0,Entrées!G$24*2,$K153))+$L153+$M153</f>
        <v>38</v>
      </c>
      <c r="P153" s="45">
        <f>IF(EBF_Zweckneubau&lt;1000.1,$K153,IF(Entrées!H$24*2&gt;0,Entrées!H$24*2,$K153))+$L153+$M153</f>
        <v>38</v>
      </c>
      <c r="Q153" s="45">
        <f>IF(EBF_Zweckneubau&lt;1000.1,$K153,IF(Entrées!I$24*2&gt;0,Entrées!I$24*2,$K153))+$L153+$M153</f>
        <v>38</v>
      </c>
      <c r="R153" s="745">
        <f>2*Entrées!$F$52*Entrées!$E$53/1000*(Entrées!$I$53+0.4*(1-Entrées!$I$53))</f>
        <v>0</v>
      </c>
      <c r="T153" s="43" t="str">
        <f t="shared" si="29"/>
        <v>Biomasse, connectée au réseau hydraulique</v>
      </c>
      <c r="U153" s="45">
        <v>46</v>
      </c>
      <c r="V153" s="2347" t="str">
        <f>Uebersetzung!D246</f>
        <v>Chaleur à distance (&gt;75% renouvelable)</v>
      </c>
      <c r="W153" s="2347" t="str">
        <f>Uebersetzung!D201</f>
        <v>Chaleur à distance (min. 75% énergies ren., rejets, CCF)</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Rejets thermiques issus de climatisation</v>
      </c>
      <c r="U154" s="45">
        <v>47</v>
      </c>
      <c r="V154" s="53" t="str">
        <f>Uebersetzung!D523</f>
        <v>Pompe à chaleur à gaz, chauffage</v>
      </c>
      <c r="W154" s="120" t="str">
        <f>Uebersetzung!D525</f>
        <v>Pompe à chaleur à gaz, seul. chauffage</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Rejets thermiques issus de froid industriel</v>
      </c>
      <c r="U155" s="49">
        <v>48</v>
      </c>
      <c r="V155" s="142" t="str">
        <f>Uebersetzung!D524</f>
        <v>Pompe à chaleur à gaz, eau chaude</v>
      </c>
      <c r="W155" s="142" t="str">
        <f>Uebersetzung!D526</f>
        <v>Pompe à chaleur à gaz, seul. eau chaude</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t="str">
        <f t="shared" si="41"/>
        <v/>
      </c>
      <c r="E158" s="762" t="str">
        <f t="shared" si="41"/>
        <v/>
      </c>
      <c r="F158" s="762" t="str">
        <f t="shared" si="41"/>
        <v/>
      </c>
      <c r="G158" s="766" t="str">
        <f t="shared" si="41"/>
        <v/>
      </c>
      <c r="I158" s="754">
        <v>0</v>
      </c>
      <c r="J158" s="755">
        <f t="shared" ref="J158:O158" si="42">IF(Kanton&gt;1,INDEX(J159:J187,Kanton,1),0)</f>
        <v>0</v>
      </c>
      <c r="K158" s="755">
        <f t="shared" si="42"/>
        <v>0</v>
      </c>
      <c r="L158" s="755" t="str">
        <f t="shared" si="42"/>
        <v/>
      </c>
      <c r="M158" s="755" t="str">
        <f t="shared" si="42"/>
        <v/>
      </c>
      <c r="N158" s="755" t="str">
        <f t="shared" si="42"/>
        <v/>
      </c>
      <c r="O158" s="755" t="str">
        <f t="shared" si="42"/>
        <v/>
      </c>
      <c r="Q158" s="754">
        <v>0</v>
      </c>
      <c r="R158" s="755">
        <f t="shared" ref="R158:W158" si="43">IF(Kanton&gt;1,INDEX(R159:R187,Kanton,1),0)</f>
        <v>0</v>
      </c>
      <c r="S158" s="755">
        <f t="shared" si="43"/>
        <v>0</v>
      </c>
      <c r="T158" s="755" t="str">
        <f t="shared" si="43"/>
        <v/>
      </c>
      <c r="U158" s="755" t="str">
        <f t="shared" si="43"/>
        <v/>
      </c>
      <c r="V158" s="755" t="str">
        <f t="shared" si="43"/>
        <v/>
      </c>
      <c r="W158" s="755" t="str">
        <f t="shared" si="43"/>
        <v/>
      </c>
      <c r="Y158" s="754">
        <v>0</v>
      </c>
      <c r="Z158" s="755">
        <f t="shared" ref="Z158:AE158" si="44">IF(Kanton&gt;1,INDEX(Z159:Z187,Kanton,1),0)</f>
        <v>0</v>
      </c>
      <c r="AA158" s="755">
        <f t="shared" si="44"/>
        <v>0</v>
      </c>
      <c r="AB158" s="755" t="str">
        <f t="shared" si="44"/>
        <v/>
      </c>
      <c r="AC158" s="755" t="str">
        <f t="shared" si="44"/>
        <v/>
      </c>
      <c r="AD158" s="755" t="str">
        <f t="shared" si="44"/>
        <v/>
      </c>
      <c r="AE158" s="755" t="str">
        <f t="shared" si="44"/>
        <v/>
      </c>
      <c r="AG158" s="754">
        <v>0</v>
      </c>
      <c r="AH158" s="755">
        <f t="shared" ref="AH158:AM158" si="45">IF(Kanton&gt;1,INDEX(AH159:AH187,Kanton,1),0)</f>
        <v>0</v>
      </c>
      <c r="AI158" s="755">
        <f t="shared" si="45"/>
        <v>0</v>
      </c>
      <c r="AJ158" s="755" t="str">
        <f t="shared" si="45"/>
        <v/>
      </c>
      <c r="AK158" s="755" t="str">
        <f t="shared" si="45"/>
        <v/>
      </c>
      <c r="AL158" s="755" t="str">
        <f t="shared" si="45"/>
        <v/>
      </c>
      <c r="AM158" s="755" t="str">
        <f t="shared" si="45"/>
        <v/>
      </c>
      <c r="AO158" s="754">
        <v>0</v>
      </c>
      <c r="AP158" s="755">
        <f t="shared" ref="AP158:AU158" si="46">IF(Kanton&gt;1,INDEX(AP159:AP187,Kanton,1),0)</f>
        <v>0</v>
      </c>
      <c r="AQ158" s="755">
        <f t="shared" si="46"/>
        <v>0</v>
      </c>
      <c r="AR158" s="755" t="str">
        <f t="shared" si="46"/>
        <v/>
      </c>
      <c r="AS158" s="755" t="str">
        <f t="shared" si="46"/>
        <v/>
      </c>
      <c r="AT158" s="755" t="str">
        <f t="shared" si="46"/>
        <v/>
      </c>
      <c r="AU158" s="755" t="str">
        <f t="shared" si="46"/>
        <v/>
      </c>
      <c r="AW158" s="754">
        <v>0</v>
      </c>
      <c r="AX158" s="755">
        <f t="shared" ref="AX158:BC158" si="47">IF(Kanton&gt;1,INDEX(AX159:AX187,Kanton,1),0)</f>
        <v>0</v>
      </c>
      <c r="AY158" s="755">
        <f t="shared" si="47"/>
        <v>0</v>
      </c>
      <c r="AZ158" s="755" t="str">
        <f t="shared" si="47"/>
        <v/>
      </c>
      <c r="BA158" s="755" t="str">
        <f t="shared" si="47"/>
        <v/>
      </c>
      <c r="BB158" s="755" t="str">
        <f t="shared" si="47"/>
        <v/>
      </c>
      <c r="BC158" s="755" t="str">
        <f t="shared" si="47"/>
        <v/>
      </c>
      <c r="BE158" s="754">
        <v>0</v>
      </c>
      <c r="BF158" s="755">
        <f t="shared" ref="BF158:BK158" si="48">IF(Kanton&gt;1,INDEX(BF159:BF187,Kanton,1),0)</f>
        <v>0</v>
      </c>
      <c r="BG158" s="755">
        <f t="shared" si="48"/>
        <v>0</v>
      </c>
      <c r="BH158" s="755" t="str">
        <f t="shared" si="48"/>
        <v/>
      </c>
      <c r="BI158" s="755" t="str">
        <f t="shared" si="48"/>
        <v/>
      </c>
      <c r="BJ158" s="755" t="str">
        <f t="shared" si="48"/>
        <v/>
      </c>
      <c r="BK158" s="755" t="str">
        <f t="shared" si="48"/>
        <v/>
      </c>
      <c r="BM158" s="754">
        <v>0</v>
      </c>
      <c r="BN158" s="755">
        <f t="shared" ref="BN158:BS158" si="49">IF(Kanton&gt;1,INDEX(BN159:BN187,Kanton,1),0)</f>
        <v>0</v>
      </c>
      <c r="BO158" s="755">
        <f t="shared" si="49"/>
        <v>0</v>
      </c>
      <c r="BP158" s="755" t="str">
        <f t="shared" si="49"/>
        <v/>
      </c>
      <c r="BQ158" s="755" t="str">
        <f t="shared" si="49"/>
        <v/>
      </c>
      <c r="BR158" s="755" t="str">
        <f t="shared" si="49"/>
        <v/>
      </c>
      <c r="BS158" s="755" t="str">
        <f t="shared" si="49"/>
        <v/>
      </c>
      <c r="BU158" s="754">
        <v>0</v>
      </c>
      <c r="BV158" s="755">
        <f t="shared" ref="BV158:CA158" si="50">IF(Kanton&gt;1,INDEX(BV159:BV187,Kanton,1),0)</f>
        <v>0</v>
      </c>
      <c r="BW158" s="755">
        <f t="shared" si="50"/>
        <v>0</v>
      </c>
      <c r="BX158" s="755" t="str">
        <f t="shared" si="50"/>
        <v/>
      </c>
      <c r="BY158" s="755" t="str">
        <f t="shared" si="50"/>
        <v/>
      </c>
      <c r="BZ158" s="755" t="str">
        <f t="shared" si="50"/>
        <v/>
      </c>
      <c r="CA158" s="755" t="str">
        <f t="shared" si="50"/>
        <v/>
      </c>
      <c r="CC158" s="754">
        <v>0</v>
      </c>
      <c r="CD158" s="755">
        <f t="shared" ref="CD158:CI158" si="51">IF(Kanton&gt;1,INDEX(CD159:CD187,Kanton,1),0)</f>
        <v>0</v>
      </c>
      <c r="CE158" s="755">
        <f t="shared" si="51"/>
        <v>0</v>
      </c>
      <c r="CF158" s="755" t="str">
        <f t="shared" si="51"/>
        <v/>
      </c>
      <c r="CG158" s="755" t="str">
        <f t="shared" si="51"/>
        <v/>
      </c>
      <c r="CH158" s="755" t="str">
        <f t="shared" si="51"/>
        <v/>
      </c>
      <c r="CI158" s="755" t="str">
        <f t="shared" si="51"/>
        <v/>
      </c>
      <c r="CK158" s="754">
        <v>0</v>
      </c>
      <c r="CL158" s="755">
        <f t="shared" ref="CL158:CQ158" si="52">IF(Kanton&gt;1,INDEX(CL159:CL187,Kanton,1),0)</f>
        <v>0</v>
      </c>
      <c r="CM158" s="755">
        <f t="shared" si="52"/>
        <v>0</v>
      </c>
      <c r="CN158" s="755" t="str">
        <f t="shared" si="52"/>
        <v/>
      </c>
      <c r="CO158" s="755" t="str">
        <f t="shared" si="52"/>
        <v/>
      </c>
      <c r="CP158" s="755" t="str">
        <f t="shared" si="52"/>
        <v/>
      </c>
      <c r="CQ158" s="755" t="str">
        <f t="shared" si="52"/>
        <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IF(OR(Entrées!I14=" ",Entrées!I14=""),"",VLOOKUP(Entrées!I14,$A$201:$B$240,2,FALSE))</f>
        <v/>
      </c>
      <c r="C199" s="135" t="s">
        <v>3805</v>
      </c>
      <c r="D199" s="135" t="s">
        <v>3800</v>
      </c>
      <c r="I199" s="1680"/>
      <c r="J199" s="820"/>
      <c r="K199" s="2960" t="s">
        <v>3257</v>
      </c>
      <c r="L199" s="2963" t="s">
        <v>3258</v>
      </c>
      <c r="M199" s="2966" t="s">
        <v>3259</v>
      </c>
      <c r="N199" s="1840" t="s">
        <v>3260</v>
      </c>
    </row>
    <row r="200" spans="1:14">
      <c r="A200" s="1680" t="str">
        <f>A54</f>
        <v xml:space="preserve"> </v>
      </c>
      <c r="B200" s="1682"/>
      <c r="C200" s="1682" t="b">
        <v>1</v>
      </c>
      <c r="D200" s="120" t="b">
        <v>0</v>
      </c>
      <c r="I200" s="43"/>
      <c r="J200" s="2967" t="s">
        <v>3261</v>
      </c>
      <c r="K200" s="2961"/>
      <c r="L200" s="2964"/>
      <c r="M200" s="2964"/>
      <c r="N200" s="1841"/>
    </row>
    <row r="201" spans="1:14">
      <c r="A201" s="43" t="str">
        <f>A55</f>
        <v>Adelboden</v>
      </c>
      <c r="B201" s="808" t="s">
        <v>3252</v>
      </c>
      <c r="C201" s="45" t="b">
        <v>1</v>
      </c>
      <c r="D201" s="120" t="b">
        <v>0</v>
      </c>
      <c r="I201" s="43"/>
      <c r="J201" s="2967"/>
      <c r="K201" s="2961"/>
      <c r="L201" s="2964"/>
      <c r="M201" s="2964"/>
      <c r="N201" s="1841"/>
    </row>
    <row r="202" spans="1:14">
      <c r="A202" s="43" t="str">
        <f t="shared" ref="A202:A239" si="157">A56</f>
        <v>Aigle</v>
      </c>
      <c r="B202" s="808" t="s">
        <v>3253</v>
      </c>
      <c r="C202" s="120" t="b">
        <v>0</v>
      </c>
      <c r="D202" s="120" t="b">
        <v>0</v>
      </c>
      <c r="I202" s="43"/>
      <c r="J202" s="2967"/>
      <c r="K202" s="2961"/>
      <c r="L202" s="2964"/>
      <c r="M202" s="2964"/>
      <c r="N202" s="1841"/>
    </row>
    <row r="203" spans="1:14">
      <c r="A203" s="43" t="str">
        <f t="shared" si="157"/>
        <v>Altdorf</v>
      </c>
      <c r="B203" s="808" t="s">
        <v>3253</v>
      </c>
      <c r="C203" s="45" t="b">
        <v>1</v>
      </c>
      <c r="D203" s="120" t="b">
        <v>0</v>
      </c>
      <c r="I203" s="94"/>
      <c r="J203" s="2968"/>
      <c r="K203" s="2962"/>
      <c r="L203" s="2965"/>
      <c r="M203" s="2965"/>
      <c r="N203" s="1842"/>
    </row>
    <row r="204" spans="1:14" ht="12.75" customHeight="1">
      <c r="A204" s="43" t="str">
        <f t="shared" si="157"/>
        <v>Basel-Binningen</v>
      </c>
      <c r="B204" s="808" t="s">
        <v>3253</v>
      </c>
      <c r="C204" s="120" t="b">
        <v>0</v>
      </c>
      <c r="D204" s="120" t="b">
        <v>0</v>
      </c>
      <c r="I204" s="2957"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58"/>
      <c r="J205" s="1641" t="s">
        <v>3256</v>
      </c>
      <c r="K205" s="1678">
        <v>0.17</v>
      </c>
      <c r="L205" s="84">
        <v>0.11</v>
      </c>
      <c r="M205" s="84">
        <v>0.22</v>
      </c>
      <c r="N205" s="1843">
        <v>0.13</v>
      </c>
    </row>
    <row r="206" spans="1:14">
      <c r="A206" s="43" t="str">
        <f t="shared" si="157"/>
        <v>Buchs Aarau</v>
      </c>
      <c r="B206" s="808" t="s">
        <v>3253</v>
      </c>
      <c r="C206" s="120" t="b">
        <v>0</v>
      </c>
      <c r="D206" s="120" t="b">
        <v>0</v>
      </c>
      <c r="I206" s="2958"/>
      <c r="J206" s="1641" t="s">
        <v>3255</v>
      </c>
      <c r="K206" s="1678">
        <v>0.19</v>
      </c>
      <c r="L206" s="84">
        <v>0.14000000000000001</v>
      </c>
      <c r="M206" s="84">
        <v>0.24</v>
      </c>
      <c r="N206" s="1843">
        <v>0.17</v>
      </c>
    </row>
    <row r="207" spans="1:14">
      <c r="A207" s="43" t="str">
        <f t="shared" si="157"/>
        <v>Chur</v>
      </c>
      <c r="B207" s="808" t="s">
        <v>3253</v>
      </c>
      <c r="C207" s="45" t="b">
        <v>1</v>
      </c>
      <c r="D207" s="120" t="b">
        <v>0</v>
      </c>
      <c r="I207" s="2958"/>
      <c r="J207" s="1641" t="s">
        <v>3253</v>
      </c>
      <c r="K207" s="1678">
        <v>0.24</v>
      </c>
      <c r="L207" s="84">
        <v>0.18</v>
      </c>
      <c r="M207" s="84">
        <v>0.3</v>
      </c>
      <c r="N207" s="1843">
        <v>0.23</v>
      </c>
    </row>
    <row r="208" spans="1:14">
      <c r="A208" s="43" t="str">
        <f t="shared" si="157"/>
        <v>Davos</v>
      </c>
      <c r="B208" s="808" t="s">
        <v>3254</v>
      </c>
      <c r="C208" s="45" t="b">
        <v>1</v>
      </c>
      <c r="D208" s="120" t="b">
        <v>0</v>
      </c>
      <c r="I208" s="2958"/>
      <c r="J208" s="1641" t="s">
        <v>3252</v>
      </c>
      <c r="K208" s="1678">
        <v>0.36</v>
      </c>
      <c r="L208" s="84">
        <v>0.3</v>
      </c>
      <c r="M208" s="84">
        <v>0.44</v>
      </c>
      <c r="N208" s="1843">
        <v>0.4</v>
      </c>
    </row>
    <row r="209" spans="1:14" ht="12.75" customHeight="1">
      <c r="A209" s="43" t="str">
        <f t="shared" si="157"/>
        <v>Disentis</v>
      </c>
      <c r="B209" s="808" t="s">
        <v>3252</v>
      </c>
      <c r="C209" s="45" t="b">
        <v>1</v>
      </c>
      <c r="D209" s="120" t="b">
        <v>0</v>
      </c>
      <c r="I209" s="2959"/>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2</v>
      </c>
      <c r="B1" s="928" t="s">
        <v>839</v>
      </c>
      <c r="C1" s="933" t="s">
        <v>134</v>
      </c>
      <c r="D1" s="2550">
        <v>2025</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v2.95</v>
      </c>
      <c r="E4" s="1433" t="s">
        <v>5207</v>
      </c>
      <c r="F4" s="902" t="str">
        <f>E4</f>
        <v>v2.95</v>
      </c>
      <c r="G4" s="403" t="str">
        <f>E4</f>
        <v>v2.95</v>
      </c>
      <c r="H4" s="2523">
        <f>IF(C2="",B2&amp;"."&amp;A2,C2)</f>
        <v>2022.4</v>
      </c>
    </row>
    <row r="5" spans="1:9" ht="25.9" customHeight="1">
      <c r="A5" s="401">
        <v>2</v>
      </c>
      <c r="B5" s="929" t="s">
        <v>53</v>
      </c>
      <c r="C5" s="929" t="s">
        <v>841</v>
      </c>
      <c r="D5" s="899" t="str">
        <f t="shared" ref="D5:D68" si="0">INDEX($E$4:$G$503,$A5,$A$1)</f>
        <v>Formulaire EN-101 BE, v2.95</v>
      </c>
      <c r="E5" s="429" t="str">
        <f>IF(OR(MUKEN,bern),IF(bern,"Formular EN-101 BE, "&amp;E4,"Formular EN101b, "&amp;E4&amp;", zu verwenden bis 31. Dezember "&amp;$D$1),"MINERGIE-Nachweisformular "&amp;$H$4&amp;", zu verwenden bis 31. Dezember "&amp;$B$2)</f>
        <v>Formular EN-101 BE, v2.95</v>
      </c>
      <c r="F5" s="902" t="str">
        <f>IF(OR(MUKEN,bern),IF(bern,"Formulaire EN-101 BE, "&amp;E4,"Formulaire EN101b, "&amp;E4&amp;", à utiliser jusqu'au 31 décembre "&amp;$D$1),"Formulaire MINERGIE "&amp;$H$4&amp;", à utiliser jusqu'au 31 décembre "&amp;$B$2)</f>
        <v>Formulaire EN-101 BE, v2.95</v>
      </c>
      <c r="G5" s="403" t="str">
        <f>IF(OR(MUKEN,bern),"Formulario EN101b, "&amp;E4&amp;", da utilizzare fino al 31. 12. "&amp;$D$1,"Formulario MINERGIE "&amp;$H$4&amp;", da utilizzare fino al 31. 12. "&amp;$B$2)</f>
        <v>Formulario EN101b, v2.95, da utilizzare fino al 31. 12. 2025</v>
      </c>
    </row>
    <row r="6" spans="1:9" ht="25.9" customHeight="1">
      <c r="A6" s="401">
        <v>3</v>
      </c>
      <c r="B6" s="929" t="s">
        <v>53</v>
      </c>
      <c r="C6" s="929" t="s">
        <v>842</v>
      </c>
      <c r="D6" s="899" t="str">
        <f t="shared" si="0"/>
        <v>Justificatif énergétique</v>
      </c>
      <c r="E6" s="402" t="s">
        <v>755</v>
      </c>
      <c r="F6" s="2338" t="s">
        <v>1489</v>
      </c>
      <c r="G6" s="403" t="s">
        <v>1235</v>
      </c>
    </row>
    <row r="7" spans="1:9" ht="25.9" customHeight="1">
      <c r="A7" s="401">
        <v>4</v>
      </c>
      <c r="B7" s="929" t="s">
        <v>53</v>
      </c>
      <c r="C7" s="929" t="s">
        <v>843</v>
      </c>
      <c r="D7" s="899" t="str">
        <f t="shared" si="0"/>
        <v>Besoin d'énergie</v>
      </c>
      <c r="E7" s="402" t="s">
        <v>1688</v>
      </c>
      <c r="F7" s="2338" t="s">
        <v>1689</v>
      </c>
      <c r="G7" s="403" t="s">
        <v>1690</v>
      </c>
    </row>
    <row r="8" spans="1:9" ht="25.9" customHeight="1">
      <c r="A8" s="401">
        <v>5</v>
      </c>
      <c r="B8" s="929" t="s">
        <v>53</v>
      </c>
      <c r="C8" s="929" t="s">
        <v>844</v>
      </c>
      <c r="D8" s="899" t="str">
        <f t="shared" si="0"/>
        <v>Preuve calculée</v>
      </c>
      <c r="E8" s="402" t="s">
        <v>756</v>
      </c>
      <c r="F8" s="2338" t="s">
        <v>1490</v>
      </c>
      <c r="G8" s="403" t="s">
        <v>1236</v>
      </c>
    </row>
    <row r="9" spans="1:9" ht="25.9" customHeight="1">
      <c r="A9" s="401">
        <v>6</v>
      </c>
      <c r="B9" s="929" t="s">
        <v>53</v>
      </c>
      <c r="C9" s="929" t="s">
        <v>845</v>
      </c>
      <c r="D9" s="899" t="str">
        <f t="shared" si="0"/>
        <v>Commune:</v>
      </c>
      <c r="E9" s="402" t="s">
        <v>796</v>
      </c>
      <c r="F9" s="2338" t="s">
        <v>1491</v>
      </c>
      <c r="G9" s="403" t="s">
        <v>1237</v>
      </c>
    </row>
    <row r="10" spans="1:9" ht="26.1" customHeight="1">
      <c r="A10" s="401">
        <v>7</v>
      </c>
      <c r="B10" s="929" t="s">
        <v>53</v>
      </c>
      <c r="C10" s="929" t="s">
        <v>1205</v>
      </c>
      <c r="D10" s="899" t="str">
        <f t="shared" si="0"/>
        <v>N° cadastre:</v>
      </c>
      <c r="E10" s="402" t="s">
        <v>799</v>
      </c>
      <c r="F10" s="2338" t="s">
        <v>1492</v>
      </c>
      <c r="G10" s="403" t="s">
        <v>1238</v>
      </c>
    </row>
    <row r="11" spans="1:9" ht="26.1" customHeight="1">
      <c r="A11" s="401">
        <v>8</v>
      </c>
      <c r="B11" s="929" t="s">
        <v>53</v>
      </c>
      <c r="C11" s="929" t="s">
        <v>1048</v>
      </c>
      <c r="D11" s="899" t="str">
        <f t="shared" si="0"/>
        <v>N° bâtiment:</v>
      </c>
      <c r="E11" s="402" t="s">
        <v>798</v>
      </c>
      <c r="F11" s="2338" t="s">
        <v>1493</v>
      </c>
      <c r="G11" s="403" t="s">
        <v>1239</v>
      </c>
    </row>
    <row r="12" spans="1:9" ht="26.1" customHeight="1">
      <c r="A12" s="401">
        <v>9</v>
      </c>
      <c r="B12" s="929" t="s">
        <v>53</v>
      </c>
      <c r="C12" s="929" t="s">
        <v>838</v>
      </c>
      <c r="D12" s="899" t="str">
        <f t="shared" si="0"/>
        <v>Canton:</v>
      </c>
      <c r="E12" s="471" t="s">
        <v>617</v>
      </c>
      <c r="F12" s="904" t="s">
        <v>837</v>
      </c>
      <c r="G12" s="403" t="s">
        <v>1240</v>
      </c>
    </row>
    <row r="13" spans="1:9" ht="26.1" customHeight="1">
      <c r="A13" s="401">
        <v>10</v>
      </c>
      <c r="B13" s="929" t="s">
        <v>53</v>
      </c>
      <c r="C13" s="929" t="s">
        <v>848</v>
      </c>
      <c r="D13" s="899" t="str">
        <f t="shared" si="0"/>
        <v>Objet:</v>
      </c>
      <c r="E13" s="402" t="s">
        <v>797</v>
      </c>
      <c r="F13" s="2338" t="s">
        <v>1494</v>
      </c>
      <c r="G13" s="403" t="s">
        <v>1241</v>
      </c>
    </row>
    <row r="14" spans="1:9" ht="26.1" customHeight="1">
      <c r="A14" s="401">
        <v>11</v>
      </c>
      <c r="B14" s="929" t="s">
        <v>53</v>
      </c>
      <c r="C14" s="929" t="s">
        <v>849</v>
      </c>
      <c r="D14" s="899" t="str">
        <f t="shared" si="0"/>
        <v>Données sur le bâtiment</v>
      </c>
      <c r="E14" s="402" t="s">
        <v>489</v>
      </c>
      <c r="F14" s="2338" t="s">
        <v>1495</v>
      </c>
      <c r="G14" s="403" t="s">
        <v>1242</v>
      </c>
    </row>
    <row r="15" spans="1:9" ht="26.1" customHeight="1">
      <c r="A15" s="401">
        <v>12</v>
      </c>
      <c r="B15" s="929" t="s">
        <v>53</v>
      </c>
      <c r="C15" s="929" t="s">
        <v>389</v>
      </c>
      <c r="D15" s="899" t="str">
        <f t="shared" si="0"/>
        <v xml:space="preserve">Altitude: </v>
      </c>
      <c r="E15" s="402" t="s">
        <v>828</v>
      </c>
      <c r="F15" s="2338" t="s">
        <v>1496</v>
      </c>
      <c r="G15" s="403" t="s">
        <v>1243</v>
      </c>
    </row>
    <row r="16" spans="1:9" s="907" customFormat="1" ht="26.1" customHeight="1">
      <c r="A16" s="401">
        <v>13</v>
      </c>
      <c r="B16" s="929" t="s">
        <v>53</v>
      </c>
      <c r="C16" s="929" t="s">
        <v>851</v>
      </c>
      <c r="D16" s="899" t="str">
        <f t="shared" si="0"/>
        <v>m</v>
      </c>
      <c r="E16" s="2536" t="s">
        <v>251</v>
      </c>
      <c r="F16" s="2537" t="s">
        <v>1497</v>
      </c>
      <c r="G16" s="2538" t="s">
        <v>3448</v>
      </c>
    </row>
    <row r="17" spans="1:7" ht="26.1" customHeight="1">
      <c r="A17" s="401">
        <v>14</v>
      </c>
      <c r="B17" s="929" t="s">
        <v>53</v>
      </c>
      <c r="C17" s="929" t="s">
        <v>466</v>
      </c>
      <c r="D17" s="899" t="str">
        <f t="shared" si="0"/>
        <v>(Selon la norme SIA 380/1)</v>
      </c>
      <c r="E17" s="402" t="s">
        <v>824</v>
      </c>
      <c r="F17" s="2338" t="s">
        <v>1498</v>
      </c>
      <c r="G17" s="403" t="s">
        <v>1244</v>
      </c>
    </row>
    <row r="18" spans="1:7" ht="26.1" customHeight="1">
      <c r="A18" s="401">
        <v>15</v>
      </c>
      <c r="B18" s="929" t="s">
        <v>53</v>
      </c>
      <c r="C18" s="929" t="s">
        <v>850</v>
      </c>
      <c r="D18" s="899" t="str">
        <f t="shared" si="0"/>
        <v>Justificatif pour:</v>
      </c>
      <c r="E18" s="402" t="s">
        <v>829</v>
      </c>
      <c r="F18" s="2338" t="s">
        <v>1499</v>
      </c>
      <c r="G18" s="403" t="s">
        <v>1245</v>
      </c>
    </row>
    <row r="19" spans="1:7" ht="26.1" customHeight="1">
      <c r="A19" s="401">
        <v>16</v>
      </c>
      <c r="B19" s="929" t="s">
        <v>622</v>
      </c>
      <c r="C19" s="929" t="s">
        <v>855</v>
      </c>
      <c r="D19" s="899" t="str">
        <f t="shared" si="0"/>
        <v>Preuve officielle</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satisfait</v>
      </c>
      <c r="E23" s="402" t="s">
        <v>676</v>
      </c>
      <c r="F23" s="2338" t="s">
        <v>1501</v>
      </c>
      <c r="G23" s="403" t="s">
        <v>1247</v>
      </c>
    </row>
    <row r="24" spans="1:7" ht="26.1" customHeight="1">
      <c r="A24" s="401">
        <v>21</v>
      </c>
      <c r="B24" s="929" t="s">
        <v>313</v>
      </c>
      <c r="C24" s="929" t="s">
        <v>1847</v>
      </c>
      <c r="D24" s="899" t="str">
        <f t="shared" si="0"/>
        <v>non satisfait</v>
      </c>
      <c r="E24" s="402" t="s">
        <v>677</v>
      </c>
      <c r="F24" s="2338" t="s">
        <v>1502</v>
      </c>
      <c r="G24" s="403" t="s">
        <v>1248</v>
      </c>
    </row>
    <row r="25" spans="1:7" ht="26.1" customHeight="1">
      <c r="A25" s="401">
        <v>22</v>
      </c>
      <c r="B25" s="929" t="s">
        <v>622</v>
      </c>
      <c r="C25" s="929" t="s">
        <v>859</v>
      </c>
      <c r="D25" s="899" t="str">
        <f t="shared" si="0"/>
        <v>oui</v>
      </c>
      <c r="E25" s="402" t="s">
        <v>120</v>
      </c>
      <c r="F25" s="2338" t="s">
        <v>329</v>
      </c>
      <c r="G25" s="403" t="s">
        <v>1249</v>
      </c>
    </row>
    <row r="26" spans="1:7" ht="26.1" customHeight="1">
      <c r="A26" s="401">
        <v>23</v>
      </c>
      <c r="B26" s="929" t="s">
        <v>622</v>
      </c>
      <c r="C26" s="929" t="s">
        <v>860</v>
      </c>
      <c r="D26" s="899" t="str">
        <f t="shared" si="0"/>
        <v>non</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Station climat.</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Somme</v>
      </c>
      <c r="E30" s="402" t="s">
        <v>490</v>
      </c>
      <c r="F30" s="2338" t="s">
        <v>1504</v>
      </c>
      <c r="G30" s="403" t="s">
        <v>1252</v>
      </c>
    </row>
    <row r="31" spans="1:7" ht="26.1" customHeight="1">
      <c r="A31" s="401">
        <v>28</v>
      </c>
      <c r="B31" s="929" t="s">
        <v>53</v>
      </c>
      <c r="C31" s="929" t="s">
        <v>853</v>
      </c>
      <c r="D31" s="899" t="str">
        <f t="shared" si="0"/>
        <v>Catégorie d'ouvrage</v>
      </c>
      <c r="E31" s="402" t="s">
        <v>331</v>
      </c>
      <c r="F31" s="2338" t="s">
        <v>1505</v>
      </c>
      <c r="G31" s="403" t="s">
        <v>1253</v>
      </c>
    </row>
    <row r="32" spans="1:7" ht="26.1" customHeight="1">
      <c r="A32" s="401">
        <v>29</v>
      </c>
      <c r="B32" s="929" t="s">
        <v>53</v>
      </c>
      <c r="C32" s="929" t="s">
        <v>854</v>
      </c>
      <c r="D32" s="899" t="str">
        <f t="shared" si="0"/>
        <v>Avec eau chaude?</v>
      </c>
      <c r="E32" s="402" t="s">
        <v>364</v>
      </c>
      <c r="F32" s="2338" t="s">
        <v>1506</v>
      </c>
      <c r="G32" s="403" t="s">
        <v>1254</v>
      </c>
    </row>
    <row r="33" spans="1:7" ht="26.1" customHeight="1">
      <c r="A33" s="401">
        <v>30</v>
      </c>
      <c r="B33" s="929" t="s">
        <v>53</v>
      </c>
      <c r="C33" s="929" t="s">
        <v>488</v>
      </c>
      <c r="D33" s="899" t="str">
        <f t="shared" si="0"/>
        <v>Surface de référence énergétique SRE</v>
      </c>
      <c r="E33" s="402" t="s">
        <v>137</v>
      </c>
      <c r="F33" s="2338" t="s">
        <v>1507</v>
      </c>
      <c r="G33" s="403" t="s">
        <v>1255</v>
      </c>
    </row>
    <row r="34" spans="1:7" ht="26.1" customHeight="1">
      <c r="A34" s="401">
        <v>31</v>
      </c>
      <c r="B34" s="929" t="s">
        <v>53</v>
      </c>
      <c r="C34" s="929" t="s">
        <v>549</v>
      </c>
      <c r="D34" s="899" t="str">
        <f t="shared" si="0"/>
        <v>Nouvelle construction</v>
      </c>
      <c r="E34" s="402" t="s">
        <v>650</v>
      </c>
      <c r="F34" s="2338" t="s">
        <v>1508</v>
      </c>
      <c r="G34" s="403" t="s">
        <v>1256</v>
      </c>
    </row>
    <row r="35" spans="1:7" ht="26.1" customHeight="1">
      <c r="A35" s="401">
        <v>32</v>
      </c>
      <c r="B35" s="929" t="s">
        <v>53</v>
      </c>
      <c r="C35" s="929" t="s">
        <v>864</v>
      </c>
      <c r="D35" s="899" t="str">
        <f t="shared" si="0"/>
        <v>(moyenne)</v>
      </c>
      <c r="E35" s="402" t="s">
        <v>492</v>
      </c>
      <c r="F35" s="2338" t="s">
        <v>1509</v>
      </c>
      <c r="G35" s="403" t="s">
        <v>1257</v>
      </c>
    </row>
    <row r="36" spans="1:7" ht="26.1" customHeight="1">
      <c r="A36" s="401">
        <v>33</v>
      </c>
      <c r="B36" s="929" t="s">
        <v>53</v>
      </c>
      <c r="C36" s="929" t="s">
        <v>549</v>
      </c>
      <c r="D36" s="899" t="str">
        <f t="shared" si="0"/>
        <v>Nouvelle construction</v>
      </c>
      <c r="E36" s="402" t="s">
        <v>650</v>
      </c>
      <c r="F36" s="2338" t="s">
        <v>1508</v>
      </c>
      <c r="G36" s="403" t="s">
        <v>1256</v>
      </c>
    </row>
    <row r="37" spans="1:7" ht="26.1" customHeight="1">
      <c r="A37" s="401">
        <v>34</v>
      </c>
      <c r="B37" s="929" t="s">
        <v>53</v>
      </c>
      <c r="C37" s="929" t="s">
        <v>551</v>
      </c>
      <c r="D37" s="899" t="str">
        <f t="shared" si="0"/>
        <v>Besoins pour chauffage avec renouvellement d'air normal</v>
      </c>
      <c r="E37" s="402" t="s">
        <v>702</v>
      </c>
      <c r="F37" s="2338" t="s">
        <v>1510</v>
      </c>
      <c r="G37" s="403" t="s">
        <v>1258</v>
      </c>
    </row>
    <row r="38" spans="1:7" ht="26.1" customHeight="1">
      <c r="A38" s="401">
        <v>35</v>
      </c>
      <c r="B38" s="929" t="s">
        <v>53</v>
      </c>
      <c r="C38" s="929" t="s">
        <v>865</v>
      </c>
      <c r="D38" s="899" t="str">
        <f t="shared" si="0"/>
        <v>Installations de ventilation et de climatisation</v>
      </c>
      <c r="E38" s="402" t="s">
        <v>514</v>
      </c>
      <c r="F38" s="2338" t="s">
        <v>255</v>
      </c>
      <c r="G38" s="403" t="s">
        <v>2742</v>
      </c>
    </row>
    <row r="39" spans="1:7" ht="46.5" customHeight="1">
      <c r="A39" s="401">
        <v>36</v>
      </c>
      <c r="B39" s="929" t="s">
        <v>53</v>
      </c>
      <c r="C39" s="929" t="s">
        <v>866</v>
      </c>
      <c r="D39" s="899" t="str">
        <f t="shared" si="0"/>
        <v>Le débit d'air neuf thermiquement actif calculé en F45-I45 est à introduire dans le calcul des besoins de chaleur pour le chauffage (SIA 380/1)</v>
      </c>
      <c r="E39" s="402" t="s">
        <v>1693</v>
      </c>
      <c r="F39" s="2338" t="s">
        <v>3449</v>
      </c>
      <c r="G39" s="403" t="s">
        <v>1259</v>
      </c>
    </row>
    <row r="40" spans="1:7" ht="26.1" customHeight="1">
      <c r="A40" s="401">
        <v>37</v>
      </c>
      <c r="B40" s="929" t="s">
        <v>53</v>
      </c>
      <c r="C40" s="929" t="s">
        <v>867</v>
      </c>
      <c r="D40" s="899" t="str">
        <f t="shared" si="0"/>
        <v>Données pour installation de ventilation standard</v>
      </c>
      <c r="E40" s="402" t="s">
        <v>835</v>
      </c>
      <c r="F40" s="2338" t="s">
        <v>1511</v>
      </c>
      <c r="G40" s="403" t="s">
        <v>2741</v>
      </c>
    </row>
    <row r="41" spans="1:7" ht="26.1" customHeight="1">
      <c r="A41" s="401">
        <v>38</v>
      </c>
      <c r="B41" s="929" t="s">
        <v>53</v>
      </c>
      <c r="C41" s="929" t="s">
        <v>513</v>
      </c>
      <c r="D41" s="899" t="str">
        <f t="shared" si="0"/>
        <v>Type d'installation de ventilation standard</v>
      </c>
      <c r="E41" s="402" t="s">
        <v>634</v>
      </c>
      <c r="F41" s="2338" t="s">
        <v>1512</v>
      </c>
      <c r="G41" s="403" t="s">
        <v>2743</v>
      </c>
    </row>
    <row r="42" spans="1:7" ht="26.1" customHeight="1">
      <c r="A42" s="401">
        <v>39</v>
      </c>
      <c r="B42" s="929" t="s">
        <v>53</v>
      </c>
      <c r="C42" s="929" t="s">
        <v>870</v>
      </c>
      <c r="D42" s="899" t="str">
        <f t="shared" si="0"/>
        <v>Locaux avec air fourni ou nombre de personnes</v>
      </c>
      <c r="E42" s="402" t="s">
        <v>869</v>
      </c>
      <c r="F42" s="2338" t="s">
        <v>1513</v>
      </c>
      <c r="G42" s="403" t="s">
        <v>2744</v>
      </c>
    </row>
    <row r="43" spans="1:7" ht="26.1" customHeight="1">
      <c r="A43" s="401">
        <v>40</v>
      </c>
      <c r="B43" s="929" t="s">
        <v>53</v>
      </c>
      <c r="C43" s="929" t="s">
        <v>870</v>
      </c>
      <c r="D43" s="899" t="str">
        <f t="shared" si="0"/>
        <v>Nombre de locaux avec air fourni</v>
      </c>
      <c r="E43" s="402" t="s">
        <v>211</v>
      </c>
      <c r="F43" s="2338" t="s">
        <v>1514</v>
      </c>
      <c r="G43" s="403" t="s">
        <v>2745</v>
      </c>
    </row>
    <row r="44" spans="1:7" ht="26.1" customHeight="1">
      <c r="A44" s="401">
        <v>41</v>
      </c>
      <c r="B44" s="929" t="s">
        <v>53</v>
      </c>
      <c r="C44" s="929" t="s">
        <v>870</v>
      </c>
      <c r="D44" s="899" t="str">
        <f t="shared" si="0"/>
        <v>Nombre de personnes</v>
      </c>
      <c r="E44" s="402" t="s">
        <v>30</v>
      </c>
      <c r="F44" s="2338" t="s">
        <v>1515</v>
      </c>
      <c r="G44" s="403" t="s">
        <v>2746</v>
      </c>
    </row>
    <row r="45" spans="1:7" ht="26.1" customHeight="1">
      <c r="A45" s="401">
        <v>42</v>
      </c>
      <c r="B45" s="929" t="s">
        <v>53</v>
      </c>
      <c r="C45" s="929" t="s">
        <v>97</v>
      </c>
      <c r="D45" s="899" t="str">
        <f t="shared" si="0"/>
        <v>Récupération de chaleur-Echangeur de chaleur</v>
      </c>
      <c r="E45" s="402" t="s">
        <v>130</v>
      </c>
      <c r="F45" s="2338" t="s">
        <v>1516</v>
      </c>
      <c r="G45" s="403" t="s">
        <v>1260</v>
      </c>
    </row>
    <row r="46" spans="1:7" ht="26.1" customHeight="1">
      <c r="A46" s="401">
        <v>43</v>
      </c>
      <c r="B46" s="929" t="s">
        <v>53</v>
      </c>
      <c r="C46" s="929" t="s">
        <v>438</v>
      </c>
      <c r="D46" s="899" t="str">
        <f t="shared" si="0"/>
        <v>Débit d'air nominal</v>
      </c>
      <c r="E46" s="402" t="s">
        <v>553</v>
      </c>
      <c r="F46" s="2338" t="s">
        <v>1517</v>
      </c>
      <c r="G46" s="403" t="s">
        <v>1261</v>
      </c>
    </row>
    <row r="47" spans="1:7" ht="25.9" customHeight="1">
      <c r="A47" s="401">
        <v>44</v>
      </c>
      <c r="B47" s="929" t="s">
        <v>53</v>
      </c>
      <c r="C47" s="929" t="s">
        <v>98</v>
      </c>
      <c r="D47" s="899" t="str">
        <f t="shared" si="0"/>
        <v>Entrainement de ventilateur avec</v>
      </c>
      <c r="E47" s="402" t="s">
        <v>339</v>
      </c>
      <c r="F47" s="2338" t="s">
        <v>1518</v>
      </c>
      <c r="G47" s="403" t="s">
        <v>1262</v>
      </c>
    </row>
    <row r="48" spans="1:7" ht="25.9" customHeight="1">
      <c r="A48" s="401">
        <v>45</v>
      </c>
      <c r="B48" s="929" t="s">
        <v>53</v>
      </c>
      <c r="C48" s="929" t="s">
        <v>868</v>
      </c>
      <c r="D48" s="899" t="str">
        <f t="shared" si="0"/>
        <v>Petite installation avec valeurs standard</v>
      </c>
      <c r="E48" s="402" t="s">
        <v>182</v>
      </c>
      <c r="F48" s="2338" t="s">
        <v>1519</v>
      </c>
      <c r="G48" s="403" t="s">
        <v>1263</v>
      </c>
    </row>
    <row r="49" spans="1:7" ht="26.1" customHeight="1">
      <c r="A49" s="401">
        <v>46</v>
      </c>
      <c r="B49" s="929" t="s">
        <v>53</v>
      </c>
      <c r="C49" s="929" t="s">
        <v>873</v>
      </c>
      <c r="D49" s="899" t="str">
        <f t="shared" si="0"/>
        <v>Débit d'air neuf thermiquement actif</v>
      </c>
      <c r="E49" s="402" t="s">
        <v>535</v>
      </c>
      <c r="F49" s="2338" t="s">
        <v>1520</v>
      </c>
      <c r="G49" s="403" t="s">
        <v>2750</v>
      </c>
    </row>
    <row r="50" spans="1:7" ht="26.1" customHeight="1">
      <c r="A50" s="401">
        <v>47</v>
      </c>
      <c r="B50" s="929" t="s">
        <v>53</v>
      </c>
      <c r="C50" s="929" t="s">
        <v>872</v>
      </c>
      <c r="D50" s="899" t="str">
        <f t="shared" si="0"/>
        <v>Besoins d'électricité pour la ventilation et la protection antigel</v>
      </c>
      <c r="E50" s="402" t="s">
        <v>181</v>
      </c>
      <c r="F50" s="2338" t="s">
        <v>1521</v>
      </c>
      <c r="G50" s="403" t="s">
        <v>1264</v>
      </c>
    </row>
    <row r="51" spans="1:7" ht="26.1" customHeight="1">
      <c r="A51" s="401">
        <v>48</v>
      </c>
      <c r="B51" s="929" t="s">
        <v>53</v>
      </c>
      <c r="C51" s="929" t="s">
        <v>871</v>
      </c>
      <c r="D51" s="899" t="str">
        <f t="shared" si="0"/>
        <v>Besoins d'électricité pour la climatisation et l'humidification</v>
      </c>
      <c r="E51" s="402" t="s">
        <v>141</v>
      </c>
      <c r="F51" s="2338" t="s">
        <v>256</v>
      </c>
      <c r="G51" s="403" t="s">
        <v>2747</v>
      </c>
    </row>
    <row r="52" spans="1:7" ht="26.1" customHeight="1">
      <c r="A52" s="401">
        <v>49</v>
      </c>
      <c r="B52" s="929" t="s">
        <v>53</v>
      </c>
      <c r="C52" s="929" t="s">
        <v>878</v>
      </c>
      <c r="D52" s="899" t="str">
        <f t="shared" si="0"/>
        <v>Besoins d'électricité exploitation</v>
      </c>
      <c r="E52" s="402" t="s">
        <v>486</v>
      </c>
      <c r="F52" s="2338" t="s">
        <v>156</v>
      </c>
      <c r="G52" s="403" t="s">
        <v>1265</v>
      </c>
    </row>
    <row r="53" spans="1:7" ht="26.1" customHeight="1">
      <c r="A53" s="401">
        <v>50</v>
      </c>
      <c r="B53" s="929" t="s">
        <v>53</v>
      </c>
      <c r="C53" s="929" t="s">
        <v>380</v>
      </c>
      <c r="D53" s="899" t="str">
        <f t="shared" si="0"/>
        <v>Calcul externe</v>
      </c>
      <c r="E53" s="402" t="s">
        <v>771</v>
      </c>
      <c r="F53" s="2338" t="s">
        <v>840</v>
      </c>
      <c r="G53" s="403" t="s">
        <v>1266</v>
      </c>
    </row>
    <row r="54" spans="1:7" ht="26.1" customHeight="1">
      <c r="A54" s="401">
        <v>51</v>
      </c>
      <c r="B54" s="929" t="s">
        <v>53</v>
      </c>
      <c r="C54" s="929" t="s">
        <v>487</v>
      </c>
      <c r="D54" s="899" t="str">
        <f t="shared" si="0"/>
        <v>Rafraîchissement et/ou humidification ?</v>
      </c>
      <c r="E54" s="402" t="s">
        <v>143</v>
      </c>
      <c r="F54" s="2338" t="s">
        <v>257</v>
      </c>
      <c r="G54" s="403" t="s">
        <v>2748</v>
      </c>
    </row>
    <row r="55" spans="1:7" ht="26.1" customHeight="1">
      <c r="A55" s="401">
        <v>52</v>
      </c>
      <c r="B55" s="929" t="s">
        <v>53</v>
      </c>
      <c r="C55" s="929" t="s">
        <v>881</v>
      </c>
      <c r="D55" s="899" t="str">
        <f t="shared" si="0"/>
        <v>Y aura-t-il un rafraîchissement ou une humidification?</v>
      </c>
      <c r="E55" s="402" t="s">
        <v>144</v>
      </c>
      <c r="F55" s="2338" t="s">
        <v>258</v>
      </c>
      <c r="G55" s="403" t="s">
        <v>2749</v>
      </c>
    </row>
    <row r="56" spans="1:7" ht="26.1" customHeight="1">
      <c r="A56" s="401">
        <v>53</v>
      </c>
      <c r="B56" s="929" t="s">
        <v>53</v>
      </c>
      <c r="C56" s="929" t="s">
        <v>878</v>
      </c>
      <c r="D56" s="899" t="str">
        <f t="shared" si="0"/>
        <v>Besoins d'électricité pour le transport du froid et pour les auxiliaires</v>
      </c>
      <c r="E56" s="402" t="s">
        <v>3611</v>
      </c>
      <c r="F56" s="2338" t="s">
        <v>3613</v>
      </c>
      <c r="G56" s="403" t="s">
        <v>3612</v>
      </c>
    </row>
    <row r="57" spans="1:7" ht="26.1" customHeight="1">
      <c r="A57" s="401">
        <v>54</v>
      </c>
      <c r="B57" s="929" t="s">
        <v>53</v>
      </c>
      <c r="C57" s="929" t="s">
        <v>705</v>
      </c>
      <c r="D57" s="899" t="str">
        <f t="shared" si="0"/>
        <v>Qh avec débit d'air thermiquement actif</v>
      </c>
      <c r="E57" s="402" t="s">
        <v>1691</v>
      </c>
      <c r="F57" s="2338" t="s">
        <v>83</v>
      </c>
      <c r="G57" s="403" t="s">
        <v>1267</v>
      </c>
    </row>
    <row r="58" spans="1:7" ht="26.1" customHeight="1">
      <c r="A58" s="401">
        <v>55</v>
      </c>
      <c r="B58" s="929" t="s">
        <v>53</v>
      </c>
      <c r="C58" s="929" t="s">
        <v>879</v>
      </c>
      <c r="D58" s="899" t="str">
        <f t="shared" si="0"/>
        <v>Débit d'air neuf thermiquement actif</v>
      </c>
      <c r="E58" s="402" t="s">
        <v>33</v>
      </c>
      <c r="F58" s="2338" t="s">
        <v>1520</v>
      </c>
      <c r="G58" s="403" t="s">
        <v>2750</v>
      </c>
    </row>
    <row r="59" spans="1:7" ht="48.75" customHeight="1">
      <c r="A59" s="401">
        <v>56</v>
      </c>
      <c r="B59" s="929" t="s">
        <v>53</v>
      </c>
      <c r="C59" s="929" t="s">
        <v>882</v>
      </c>
      <c r="D59" s="899" t="str">
        <f t="shared" si="0"/>
        <v>Débit d'air spécifique thermiquement actif Vth selon SIA 380/1: cette valeur doit correspondre à celle donnée pour le calcul de la demande d'énergie de chauffage avec aération effective.</v>
      </c>
      <c r="E59" s="402" t="s">
        <v>118</v>
      </c>
      <c r="F59" s="2338" t="s">
        <v>48</v>
      </c>
      <c r="G59" s="403" t="s">
        <v>3450</v>
      </c>
    </row>
    <row r="60" spans="1:7" ht="25.9" customHeight="1">
      <c r="A60" s="401">
        <v>57</v>
      </c>
      <c r="B60" s="929" t="s">
        <v>53</v>
      </c>
      <c r="C60" s="929" t="s">
        <v>880</v>
      </c>
      <c r="D60" s="899" t="str">
        <f t="shared" si="0"/>
        <v>Besoins pour le chauffage effectif avec l'installation de ventilation</v>
      </c>
      <c r="E60" s="402" t="s">
        <v>190</v>
      </c>
      <c r="F60" s="2338" t="s">
        <v>1522</v>
      </c>
      <c r="G60" s="403" t="s">
        <v>1268</v>
      </c>
    </row>
    <row r="61" spans="1:7" ht="52.5" customHeight="1">
      <c r="A61" s="401">
        <v>58</v>
      </c>
      <c r="B61" s="929" t="s">
        <v>53</v>
      </c>
      <c r="C61" s="929" t="s">
        <v>883</v>
      </c>
      <c r="D61" s="899" t="str">
        <f t="shared" si="0"/>
        <v>Entrée obligatoire: Qh,eff ou Qh,corr
à reporter du calcul SIA 380/1 les besoins de chaleur pour le chauffage Qh,eff avec débit d’air neuf thermiquement actif Vth.</v>
      </c>
      <c r="E61" s="402" t="s">
        <v>3517</v>
      </c>
      <c r="F61" s="2338" t="s">
        <v>3516</v>
      </c>
      <c r="G61" s="403" t="s">
        <v>3518</v>
      </c>
    </row>
    <row r="62" spans="1:7" ht="40.5" customHeight="1">
      <c r="A62" s="401">
        <v>59</v>
      </c>
      <c r="B62" s="929" t="s">
        <v>53</v>
      </c>
      <c r="C62" s="929" t="s">
        <v>885</v>
      </c>
      <c r="D62" s="899" t="str">
        <f t="shared" si="0"/>
        <v>Indiquer ici le résulat d'un calcul externe (sur une feuille séparée).
Entrée obligatoire pour les installation de climatisation.</v>
      </c>
      <c r="E62" s="402" t="s">
        <v>884</v>
      </c>
      <c r="F62" s="2338" t="s">
        <v>1523</v>
      </c>
      <c r="G62" s="403" t="s">
        <v>1269</v>
      </c>
    </row>
    <row r="63" spans="1:7" ht="100.5" customHeight="1">
      <c r="A63" s="401">
        <v>60</v>
      </c>
      <c r="B63" s="929" t="s">
        <v>53</v>
      </c>
      <c r="C63" s="929" t="s">
        <v>888</v>
      </c>
      <c r="D63" s="899"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402" t="s">
        <v>887</v>
      </c>
      <c r="F63" s="2338" t="s">
        <v>3451</v>
      </c>
      <c r="G63" s="403" t="s">
        <v>3452</v>
      </c>
    </row>
    <row r="64" spans="1:7" ht="60" customHeight="1">
      <c r="A64" s="401">
        <v>61</v>
      </c>
      <c r="B64" s="929" t="s">
        <v>53</v>
      </c>
      <c r="C64" s="929" t="s">
        <v>889</v>
      </c>
      <c r="D64" s="899" t="str">
        <f t="shared" si="0"/>
        <v>Justificatif énergétique:
Seules les nouvelles constructions sont considérées dans le justificatif énergétique.
Minergie:
Année de construction (achèvement) à partir de 2000.</v>
      </c>
      <c r="E64" s="402" t="s">
        <v>1217</v>
      </c>
      <c r="F64" s="2338" t="s">
        <v>2751</v>
      </c>
      <c r="G64" s="403" t="s">
        <v>1270</v>
      </c>
    </row>
    <row r="65" spans="1:7" ht="25.9" customHeight="1">
      <c r="A65" s="401">
        <v>62</v>
      </c>
      <c r="B65" s="929" t="s">
        <v>53</v>
      </c>
      <c r="C65" s="929" t="s">
        <v>886</v>
      </c>
      <c r="D65" s="899" t="str">
        <f t="shared" si="0"/>
        <v>Surface de référence énergétique AE, doit être reprise du calcul SIA 380/1.</v>
      </c>
      <c r="E65" s="402" t="s">
        <v>139</v>
      </c>
      <c r="F65" s="2338" t="s">
        <v>254</v>
      </c>
      <c r="G65" s="403" t="s">
        <v>1271</v>
      </c>
    </row>
    <row r="66" spans="1:7" ht="96" customHeight="1">
      <c r="A66" s="401">
        <v>63</v>
      </c>
      <c r="B66" s="929" t="s">
        <v>53</v>
      </c>
      <c r="C66" s="929" t="s">
        <v>890</v>
      </c>
      <c r="D66" s="899"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402" t="s">
        <v>891</v>
      </c>
      <c r="F66" s="2338" t="s">
        <v>1524</v>
      </c>
      <c r="G66" s="403" t="s">
        <v>1272</v>
      </c>
    </row>
    <row r="67" spans="1:7" ht="25.9" customHeight="1">
      <c r="A67" s="401">
        <v>64</v>
      </c>
      <c r="B67" s="929" t="s">
        <v>53</v>
      </c>
      <c r="C67" s="929" t="s">
        <v>893</v>
      </c>
      <c r="D67" s="899" t="str">
        <f t="shared" si="0"/>
        <v>Entrée possible que pour l'habitat jusqu'à 2000 m2 et l'administration et les écoles jusqu'à 1000 m2.</v>
      </c>
      <c r="E67" s="402" t="s">
        <v>892</v>
      </c>
      <c r="F67" s="2338" t="s">
        <v>1525</v>
      </c>
      <c r="G67" s="403" t="s">
        <v>1273</v>
      </c>
    </row>
    <row r="68" spans="1:7" ht="133.5" customHeight="1">
      <c r="A68" s="401">
        <v>65</v>
      </c>
      <c r="B68" s="929" t="s">
        <v>53</v>
      </c>
      <c r="C68" s="929" t="s">
        <v>328</v>
      </c>
      <c r="D68" s="899"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402" t="s">
        <v>894</v>
      </c>
      <c r="F68" s="2338" t="s">
        <v>1526</v>
      </c>
      <c r="G68" s="403" t="s">
        <v>3453</v>
      </c>
    </row>
    <row r="69" spans="1:7" ht="67.5" customHeight="1">
      <c r="A69" s="401">
        <v>66</v>
      </c>
      <c r="B69" s="929" t="s">
        <v>53</v>
      </c>
      <c r="C69" s="929" t="s">
        <v>895</v>
      </c>
      <c r="D69" s="899" t="str">
        <f t="shared" ref="D69:D132" si="1">INDEX($E$4:$G$503,$A69,$A$1)</f>
        <v>Nombre de pièces avec air fourni:
Données obligatoires que pour l'habitat.
Nombre de personnes (total par zones).
Données obligatoires pour administration ou écoles.
Seront utilisées pour le calcul de l'air fourni.</v>
      </c>
      <c r="E69" s="402" t="s">
        <v>896</v>
      </c>
      <c r="F69" s="2338" t="s">
        <v>3454</v>
      </c>
      <c r="G69" s="403" t="s">
        <v>1274</v>
      </c>
    </row>
    <row r="70" spans="1:7" ht="114.75" customHeight="1">
      <c r="A70" s="401">
        <v>67</v>
      </c>
      <c r="B70" s="929" t="s">
        <v>53</v>
      </c>
      <c r="C70" s="929" t="s">
        <v>898</v>
      </c>
      <c r="D70" s="899"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402" t="s">
        <v>897</v>
      </c>
      <c r="F70" s="2338" t="s">
        <v>3455</v>
      </c>
      <c r="G70" s="403" t="s">
        <v>1275</v>
      </c>
    </row>
    <row r="71" spans="1:7" ht="42" customHeight="1">
      <c r="A71" s="401">
        <v>68</v>
      </c>
      <c r="B71" s="929" t="s">
        <v>53</v>
      </c>
      <c r="C71" s="929" t="s">
        <v>900</v>
      </c>
      <c r="D71" s="899" t="str">
        <f t="shared" si="1"/>
        <v>Données pour les petites installations avec des valeurs standard:
Moteurs des ventilateurs: à courant alternatif (AC) ou à courant continu (DC)</v>
      </c>
      <c r="E71" s="402" t="s">
        <v>899</v>
      </c>
      <c r="F71" s="2338" t="s">
        <v>1527</v>
      </c>
      <c r="G71" s="403" t="s">
        <v>1276</v>
      </c>
    </row>
    <row r="72" spans="1:7" ht="26.1" customHeight="1">
      <c r="A72" s="401">
        <v>69</v>
      </c>
      <c r="B72" s="929" t="s">
        <v>622</v>
      </c>
      <c r="C72" s="929" t="s">
        <v>901</v>
      </c>
      <c r="D72" s="899" t="str">
        <f t="shared" si="1"/>
        <v>donnée manquante</v>
      </c>
      <c r="E72" s="402" t="s">
        <v>833</v>
      </c>
      <c r="F72" s="2338" t="s">
        <v>1528</v>
      </c>
      <c r="G72" s="403" t="s">
        <v>1277</v>
      </c>
    </row>
    <row r="73" spans="1:7" ht="26.1" customHeight="1">
      <c r="A73" s="401">
        <v>70</v>
      </c>
      <c r="B73" s="929" t="s">
        <v>622</v>
      </c>
      <c r="C73" s="929" t="s">
        <v>902</v>
      </c>
      <c r="D73" s="899" t="str">
        <f t="shared" si="1"/>
        <v>donnée erronée</v>
      </c>
      <c r="E73" s="402" t="s">
        <v>834</v>
      </c>
      <c r="F73" s="2338" t="s">
        <v>3456</v>
      </c>
      <c r="G73" s="403" t="s">
        <v>1278</v>
      </c>
    </row>
    <row r="74" spans="1:7" ht="25.9" customHeight="1">
      <c r="A74" s="401">
        <v>71</v>
      </c>
      <c r="B74" s="929" t="s">
        <v>53</v>
      </c>
      <c r="C74" s="929" t="s">
        <v>904</v>
      </c>
      <c r="D74" s="900" t="str">
        <f t="shared" si="1"/>
        <v>Exigence primaire pas requise</v>
      </c>
      <c r="E74" s="908" t="s">
        <v>903</v>
      </c>
      <c r="F74" s="904" t="s">
        <v>1529</v>
      </c>
      <c r="G74" s="472" t="s">
        <v>1279</v>
      </c>
    </row>
    <row r="75" spans="1:7" ht="25.9" customHeight="1">
      <c r="A75" s="401">
        <v>72</v>
      </c>
      <c r="B75" s="929" t="s">
        <v>53</v>
      </c>
      <c r="C75" s="929" t="s">
        <v>904</v>
      </c>
      <c r="D75" s="899" t="str">
        <f t="shared" si="1"/>
        <v>Exigence 2 pas satisfaite</v>
      </c>
      <c r="E75" s="402" t="s">
        <v>905</v>
      </c>
      <c r="F75" s="2338" t="s">
        <v>1530</v>
      </c>
      <c r="G75" s="403" t="s">
        <v>1280</v>
      </c>
    </row>
    <row r="76" spans="1:7" ht="25.9" customHeight="1">
      <c r="A76" s="401">
        <v>73</v>
      </c>
      <c r="D76" s="899" t="str">
        <f t="shared" si="1"/>
        <v>Donnée manque</v>
      </c>
      <c r="E76" s="402" t="s">
        <v>534</v>
      </c>
      <c r="F76" s="2338" t="s">
        <v>538</v>
      </c>
      <c r="G76" s="403" t="s">
        <v>1277</v>
      </c>
    </row>
    <row r="77" spans="1:7" ht="25.9" customHeight="1">
      <c r="A77" s="401">
        <v>74</v>
      </c>
      <c r="D77" s="899" t="str">
        <f t="shared" si="1"/>
        <v>Remarque: dans la feuille 'Entrée' une installation de ventilation avec PAC intégrée a été choisie</v>
      </c>
      <c r="E77" s="402" t="s">
        <v>24</v>
      </c>
      <c r="F77" s="2338" t="s">
        <v>539</v>
      </c>
      <c r="G77" s="403" t="s">
        <v>1281</v>
      </c>
    </row>
    <row r="78" spans="1:7" ht="25.9" customHeight="1">
      <c r="A78" s="401">
        <v>75</v>
      </c>
      <c r="B78" s="929" t="s">
        <v>622</v>
      </c>
      <c r="C78" s="929" t="s">
        <v>874</v>
      </c>
      <c r="D78" s="899" t="str">
        <f t="shared" si="1"/>
        <v>Refroidissement</v>
      </c>
      <c r="E78" s="402" t="s">
        <v>369</v>
      </c>
      <c r="F78" s="2338" t="s">
        <v>94</v>
      </c>
      <c r="G78" s="403" t="s">
        <v>1282</v>
      </c>
    </row>
    <row r="79" spans="1:7" ht="25.9" customHeight="1">
      <c r="A79" s="401">
        <v>76</v>
      </c>
      <c r="B79" s="929" t="s">
        <v>622</v>
      </c>
      <c r="C79" s="929" t="s">
        <v>875</v>
      </c>
      <c r="D79" s="899" t="str">
        <f t="shared" si="1"/>
        <v>Humidification</v>
      </c>
      <c r="E79" s="402" t="s">
        <v>108</v>
      </c>
      <c r="F79" s="2338" t="s">
        <v>95</v>
      </c>
      <c r="G79" s="403" t="s">
        <v>1283</v>
      </c>
    </row>
    <row r="80" spans="1:7" ht="25.9" customHeight="1">
      <c r="A80" s="401">
        <v>77</v>
      </c>
      <c r="B80" s="929" t="s">
        <v>622</v>
      </c>
      <c r="C80" s="929" t="s">
        <v>876</v>
      </c>
      <c r="D80" s="899" t="str">
        <f t="shared" si="1"/>
        <v>Refr. + humid.</v>
      </c>
      <c r="E80" s="402" t="s">
        <v>109</v>
      </c>
      <c r="F80" s="2338" t="s">
        <v>96</v>
      </c>
      <c r="G80" s="403" t="s">
        <v>1284</v>
      </c>
    </row>
    <row r="81" spans="1:7" ht="25.9" customHeight="1">
      <c r="A81" s="401">
        <v>78</v>
      </c>
      <c r="B81" s="929" t="s">
        <v>622</v>
      </c>
      <c r="C81" s="929" t="s">
        <v>877</v>
      </c>
      <c r="D81" s="899" t="str">
        <f t="shared" si="1"/>
        <v>aucune</v>
      </c>
      <c r="E81" s="402" t="s">
        <v>708</v>
      </c>
      <c r="F81" s="2338" t="s">
        <v>1531</v>
      </c>
      <c r="G81" s="403" t="s">
        <v>1285</v>
      </c>
    </row>
    <row r="82" spans="1:7" ht="26.1" customHeight="1">
      <c r="A82" s="401">
        <v>79</v>
      </c>
      <c r="B82" s="929" t="s">
        <v>622</v>
      </c>
      <c r="C82" s="929" t="s">
        <v>906</v>
      </c>
      <c r="D82" s="899" t="str">
        <f t="shared" si="1"/>
        <v>Habitat collectif</v>
      </c>
      <c r="E82" s="402" t="s">
        <v>332</v>
      </c>
      <c r="F82" s="2338" t="s">
        <v>1533</v>
      </c>
      <c r="G82" s="403" t="s">
        <v>1286</v>
      </c>
    </row>
    <row r="83" spans="1:7" ht="26.1" customHeight="1">
      <c r="A83" s="401">
        <v>80</v>
      </c>
      <c r="B83" s="929" t="s">
        <v>622</v>
      </c>
      <c r="C83" s="929" t="s">
        <v>907</v>
      </c>
      <c r="D83" s="899" t="str">
        <f t="shared" si="1"/>
        <v>Habitat individuel</v>
      </c>
      <c r="E83" s="402" t="s">
        <v>333</v>
      </c>
      <c r="F83" s="2338" t="s">
        <v>1532</v>
      </c>
      <c r="G83" s="403" t="s">
        <v>1287</v>
      </c>
    </row>
    <row r="84" spans="1:7" ht="26.1" customHeight="1">
      <c r="A84" s="401">
        <v>81</v>
      </c>
      <c r="B84" s="929" t="s">
        <v>622</v>
      </c>
      <c r="C84" s="929" t="s">
        <v>908</v>
      </c>
      <c r="D84" s="899" t="str">
        <f t="shared" si="1"/>
        <v>Administration</v>
      </c>
      <c r="E84" s="402" t="s">
        <v>1</v>
      </c>
      <c r="F84" s="2338" t="s">
        <v>1534</v>
      </c>
      <c r="G84" s="403" t="s">
        <v>1288</v>
      </c>
    </row>
    <row r="85" spans="1:7" ht="26.1" customHeight="1">
      <c r="A85" s="401">
        <v>82</v>
      </c>
      <c r="B85" s="929" t="s">
        <v>622</v>
      </c>
      <c r="C85" s="929" t="s">
        <v>909</v>
      </c>
      <c r="D85" s="899" t="str">
        <f t="shared" si="1"/>
        <v>Ecole</v>
      </c>
      <c r="E85" s="402" t="s">
        <v>340</v>
      </c>
      <c r="F85" s="2338" t="s">
        <v>1535</v>
      </c>
      <c r="G85" s="403" t="s">
        <v>1289</v>
      </c>
    </row>
    <row r="86" spans="1:7" ht="26.1" customHeight="1">
      <c r="A86" s="401">
        <v>83</v>
      </c>
      <c r="B86" s="929" t="s">
        <v>622</v>
      </c>
      <c r="C86" s="929" t="s">
        <v>910</v>
      </c>
      <c r="D86" s="899" t="str">
        <f t="shared" si="1"/>
        <v>Commerce</v>
      </c>
      <c r="E86" s="402" t="s">
        <v>237</v>
      </c>
      <c r="F86" s="2338" t="s">
        <v>1536</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Lieu de rassemblement</v>
      </c>
      <c r="E88" s="402" t="s">
        <v>831</v>
      </c>
      <c r="F88" s="2338" t="s">
        <v>1537</v>
      </c>
      <c r="G88" s="403" t="s">
        <v>1292</v>
      </c>
    </row>
    <row r="89" spans="1:7" ht="25.9" customHeight="1">
      <c r="A89" s="401">
        <v>86</v>
      </c>
      <c r="B89" s="929" t="s">
        <v>622</v>
      </c>
      <c r="C89" s="929" t="s">
        <v>913</v>
      </c>
      <c r="D89" s="899" t="str">
        <f t="shared" si="1"/>
        <v>Hôpital</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Entrepôt</v>
      </c>
      <c r="E91" s="402" t="s">
        <v>239</v>
      </c>
      <c r="F91" s="2338" t="s">
        <v>1539</v>
      </c>
      <c r="G91" s="403" t="s">
        <v>1294</v>
      </c>
    </row>
    <row r="92" spans="1:7" ht="25.9" customHeight="1">
      <c r="A92" s="401">
        <v>89</v>
      </c>
      <c r="B92" s="929" t="s">
        <v>622</v>
      </c>
      <c r="C92" s="929" t="s">
        <v>916</v>
      </c>
      <c r="D92" s="899" t="str">
        <f t="shared" si="1"/>
        <v>Installation sportive</v>
      </c>
      <c r="E92" s="402" t="s">
        <v>240</v>
      </c>
      <c r="F92" s="2338" t="s">
        <v>1540</v>
      </c>
      <c r="G92" s="403" t="s">
        <v>1295</v>
      </c>
    </row>
    <row r="93" spans="1:7" ht="25.9" customHeight="1">
      <c r="A93" s="401">
        <v>90</v>
      </c>
      <c r="B93" s="929" t="s">
        <v>622</v>
      </c>
      <c r="C93" s="929" t="s">
        <v>917</v>
      </c>
      <c r="D93" s="899" t="str">
        <f t="shared" si="1"/>
        <v>Piscine couverte</v>
      </c>
      <c r="E93" s="402" t="s">
        <v>795</v>
      </c>
      <c r="F93" s="2338" t="s">
        <v>1541</v>
      </c>
      <c r="G93" s="403" t="s">
        <v>1296</v>
      </c>
    </row>
    <row r="94" spans="1:7" ht="26.1" customHeight="1">
      <c r="A94" s="401">
        <v>91</v>
      </c>
      <c r="B94" s="929" t="s">
        <v>622</v>
      </c>
      <c r="C94" s="929" t="s">
        <v>918</v>
      </c>
      <c r="D94" s="899" t="str">
        <f t="shared" si="1"/>
        <v>Pas de ventilation</v>
      </c>
      <c r="E94" s="402" t="s">
        <v>806</v>
      </c>
      <c r="F94" s="2338" t="s">
        <v>1542</v>
      </c>
      <c r="G94" s="403" t="s">
        <v>1297</v>
      </c>
    </row>
    <row r="95" spans="1:7" ht="26.1" customHeight="1">
      <c r="A95" s="401">
        <v>92</v>
      </c>
      <c r="B95" s="929" t="s">
        <v>622</v>
      </c>
      <c r="C95" s="929" t="s">
        <v>919</v>
      </c>
      <c r="D95" s="899" t="str">
        <f t="shared" si="1"/>
        <v>FOU/REP sans RC</v>
      </c>
      <c r="E95" s="402" t="s">
        <v>812</v>
      </c>
      <c r="F95" s="2338" t="s">
        <v>3626</v>
      </c>
      <c r="G95" s="403" t="s">
        <v>1298</v>
      </c>
    </row>
    <row r="96" spans="1:7" ht="26.1" customHeight="1">
      <c r="A96" s="401">
        <v>93</v>
      </c>
      <c r="B96" s="929" t="s">
        <v>622</v>
      </c>
      <c r="C96" s="929" t="s">
        <v>920</v>
      </c>
      <c r="D96" s="899" t="str">
        <f t="shared" si="1"/>
        <v>Double flux</v>
      </c>
      <c r="E96" s="402" t="s">
        <v>807</v>
      </c>
      <c r="F96" s="2338" t="s">
        <v>1543</v>
      </c>
      <c r="G96" s="403" t="s">
        <v>1299</v>
      </c>
    </row>
    <row r="97" spans="1:7" ht="26.1" customHeight="1">
      <c r="A97" s="401">
        <v>94</v>
      </c>
      <c r="B97" s="929" t="s">
        <v>622</v>
      </c>
      <c r="C97" s="929" t="s">
        <v>921</v>
      </c>
      <c r="D97" s="899" t="str">
        <f t="shared" si="1"/>
        <v>FOU/REP+PAC</v>
      </c>
      <c r="E97" s="402" t="s">
        <v>810</v>
      </c>
      <c r="F97" s="2338" t="s">
        <v>1544</v>
      </c>
      <c r="G97" s="403" t="s">
        <v>1300</v>
      </c>
    </row>
    <row r="98" spans="1:7" ht="26.1" customHeight="1">
      <c r="A98" s="401">
        <v>95</v>
      </c>
      <c r="B98" s="929" t="s">
        <v>622</v>
      </c>
      <c r="C98" s="929" t="s">
        <v>922</v>
      </c>
      <c r="D98" s="899" t="str">
        <f t="shared" si="1"/>
        <v>REP</v>
      </c>
      <c r="E98" s="402" t="s">
        <v>813</v>
      </c>
      <c r="F98" s="2338" t="s">
        <v>1545</v>
      </c>
      <c r="G98" s="403" t="s">
        <v>1301</v>
      </c>
    </row>
    <row r="99" spans="1:7" ht="26.1" customHeight="1">
      <c r="A99" s="401">
        <v>96</v>
      </c>
      <c r="B99" s="929" t="s">
        <v>622</v>
      </c>
      <c r="C99" s="929" t="s">
        <v>923</v>
      </c>
      <c r="D99" s="899" t="str">
        <f t="shared" si="1"/>
        <v>REP+PAC</v>
      </c>
      <c r="E99" s="402" t="s">
        <v>811</v>
      </c>
      <c r="F99" s="2338" t="s">
        <v>1546</v>
      </c>
      <c r="G99" s="403" t="s">
        <v>1302</v>
      </c>
    </row>
    <row r="100" spans="1:7" ht="26.1" customHeight="1">
      <c r="A100" s="401">
        <v>97</v>
      </c>
      <c r="B100" s="929" t="s">
        <v>622</v>
      </c>
      <c r="C100" s="929" t="s">
        <v>924</v>
      </c>
      <c r="D100" s="899" t="str">
        <f t="shared" si="1"/>
        <v>Par Local</v>
      </c>
      <c r="E100" s="402" t="s">
        <v>460</v>
      </c>
      <c r="F100" s="2338" t="s">
        <v>3625</v>
      </c>
      <c r="G100" s="403" t="s">
        <v>1303</v>
      </c>
    </row>
    <row r="101" spans="1:7" ht="26.1" customHeight="1">
      <c r="A101" s="401">
        <v>98</v>
      </c>
      <c r="B101" s="929" t="s">
        <v>622</v>
      </c>
      <c r="C101" s="929" t="s">
        <v>925</v>
      </c>
      <c r="D101" s="899" t="str">
        <f t="shared" si="1"/>
        <v>Fen. auto</v>
      </c>
      <c r="E101" s="402" t="s">
        <v>461</v>
      </c>
      <c r="F101" s="2338" t="s">
        <v>1547</v>
      </c>
      <c r="G101" s="403" t="s">
        <v>1304</v>
      </c>
    </row>
    <row r="102" spans="1:7" ht="26.1" customHeight="1">
      <c r="A102" s="401">
        <v>99</v>
      </c>
      <c r="B102" s="929" t="s">
        <v>622</v>
      </c>
      <c r="C102" s="929" t="s">
        <v>926</v>
      </c>
      <c r="D102" s="899" t="str">
        <f t="shared" si="1"/>
        <v>Pas de récup.</v>
      </c>
      <c r="E102" s="402" t="s">
        <v>214</v>
      </c>
      <c r="F102" s="2338" t="s">
        <v>1548</v>
      </c>
      <c r="G102" s="403" t="s">
        <v>1305</v>
      </c>
    </row>
    <row r="103" spans="1:7" ht="26.1" customHeight="1">
      <c r="A103" s="909">
        <v>100</v>
      </c>
      <c r="B103" s="929" t="s">
        <v>622</v>
      </c>
      <c r="C103" s="929" t="s">
        <v>927</v>
      </c>
      <c r="D103" s="910" t="str">
        <f t="shared" si="1"/>
        <v>Courant croisé</v>
      </c>
      <c r="E103" s="402" t="s">
        <v>352</v>
      </c>
      <c r="F103" s="2338" t="s">
        <v>1549</v>
      </c>
      <c r="G103" s="913" t="s">
        <v>1306</v>
      </c>
    </row>
    <row r="104" spans="1:7" s="914" customFormat="1" ht="26.1" customHeight="1">
      <c r="A104" s="401">
        <v>101</v>
      </c>
      <c r="B104" s="929" t="s">
        <v>622</v>
      </c>
      <c r="C104" s="929" t="s">
        <v>928</v>
      </c>
      <c r="D104" s="899" t="str">
        <f t="shared" si="1"/>
        <v>Contre-courant</v>
      </c>
      <c r="E104" s="402" t="s">
        <v>353</v>
      </c>
      <c r="F104" s="2338" t="s">
        <v>1550</v>
      </c>
      <c r="G104" s="403" t="s">
        <v>1307</v>
      </c>
    </row>
    <row r="105" spans="1:7" ht="26.1" customHeight="1">
      <c r="A105" s="470">
        <v>102</v>
      </c>
      <c r="B105" s="929" t="s">
        <v>622</v>
      </c>
      <c r="C105" s="929" t="s">
        <v>929</v>
      </c>
      <c r="D105" s="900" t="str">
        <f t="shared" si="1"/>
        <v>Rotatif</v>
      </c>
      <c r="E105" s="402" t="s">
        <v>631</v>
      </c>
      <c r="F105" s="2338" t="s">
        <v>1551</v>
      </c>
      <c r="G105" s="472" t="s">
        <v>1308</v>
      </c>
    </row>
    <row r="106" spans="1:7" ht="26.1" customHeight="1">
      <c r="A106" s="401">
        <v>103</v>
      </c>
      <c r="B106" s="929" t="s">
        <v>622</v>
      </c>
      <c r="C106" s="929" t="s">
        <v>930</v>
      </c>
      <c r="D106" s="899" t="str">
        <f t="shared" si="1"/>
        <v>Circulation-KVS</v>
      </c>
      <c r="E106" s="402" t="s">
        <v>131</v>
      </c>
      <c r="F106" s="2338" t="s">
        <v>1552</v>
      </c>
      <c r="G106" s="403" t="s">
        <v>1309</v>
      </c>
    </row>
    <row r="107" spans="1:7" ht="26.1" customHeight="1">
      <c r="A107" s="401">
        <v>104</v>
      </c>
      <c r="B107" s="929" t="s">
        <v>622</v>
      </c>
      <c r="C107" s="929" t="s">
        <v>931</v>
      </c>
      <c r="D107" s="899" t="str">
        <f t="shared" si="1"/>
        <v>Moteur AC</v>
      </c>
      <c r="E107" s="402" t="s">
        <v>643</v>
      </c>
      <c r="F107" s="2338" t="s">
        <v>1553</v>
      </c>
      <c r="G107" s="403" t="s">
        <v>1310</v>
      </c>
    </row>
    <row r="108" spans="1:7" ht="26.1" customHeight="1">
      <c r="A108" s="401">
        <v>105</v>
      </c>
      <c r="B108" s="929" t="s">
        <v>622</v>
      </c>
      <c r="C108" s="929" t="s">
        <v>932</v>
      </c>
      <c r="D108" s="899" t="str">
        <f t="shared" si="1"/>
        <v>Moteur DC/EC</v>
      </c>
      <c r="E108" s="402" t="s">
        <v>644</v>
      </c>
      <c r="F108" s="2338" t="s">
        <v>1554</v>
      </c>
      <c r="G108" s="403" t="s">
        <v>1311</v>
      </c>
    </row>
    <row r="109" spans="1:7" ht="26.1" customHeight="1">
      <c r="A109" s="401">
        <v>106</v>
      </c>
      <c r="B109" s="929" t="s">
        <v>706</v>
      </c>
      <c r="C109" s="929" t="s">
        <v>3815</v>
      </c>
      <c r="D109" s="899" t="str">
        <f t="shared" si="1"/>
        <v>Taux de couverture trop haut</v>
      </c>
      <c r="E109" s="402" t="s">
        <v>25</v>
      </c>
      <c r="F109" s="2338" t="s">
        <v>540</v>
      </c>
      <c r="G109" s="403" t="s">
        <v>1312</v>
      </c>
    </row>
    <row r="110" spans="1:7" ht="26.1" customHeight="1">
      <c r="A110" s="401">
        <v>107</v>
      </c>
      <c r="D110" s="899" t="str">
        <f t="shared" si="1"/>
        <v>Chauffage choisi</v>
      </c>
      <c r="E110" s="402" t="s">
        <v>26</v>
      </c>
      <c r="F110" s="2338" t="s">
        <v>541</v>
      </c>
      <c r="G110" s="403" t="s">
        <v>1313</v>
      </c>
    </row>
    <row r="111" spans="1:7" ht="26.1" customHeight="1">
      <c r="A111" s="401">
        <v>108</v>
      </c>
      <c r="D111" s="899" t="str">
        <f t="shared" si="1"/>
        <v>Eau chaude choisie</v>
      </c>
      <c r="E111" s="402" t="s">
        <v>27</v>
      </c>
      <c r="F111" s="2338" t="s">
        <v>542</v>
      </c>
      <c r="G111" s="403" t="s">
        <v>1314</v>
      </c>
    </row>
    <row r="112" spans="1:7" ht="26.1" customHeight="1">
      <c r="A112" s="401">
        <v>109</v>
      </c>
      <c r="D112" s="899" t="str">
        <f t="shared" si="1"/>
        <v>Calcul annexé</v>
      </c>
      <c r="E112" s="402" t="s">
        <v>28</v>
      </c>
      <c r="F112" s="2338" t="s">
        <v>543</v>
      </c>
      <c r="G112" s="403" t="s">
        <v>1315</v>
      </c>
    </row>
    <row r="113" spans="1:7" ht="26.1" customHeight="1">
      <c r="A113" s="401">
        <v>110</v>
      </c>
      <c r="D113" s="899" t="str">
        <f t="shared" si="1"/>
        <v>Choisir un chauffage électrique complémentaire de l'ECS</v>
      </c>
      <c r="E113" s="402" t="s">
        <v>187</v>
      </c>
      <c r="F113" s="2338" t="s">
        <v>544</v>
      </c>
      <c r="G113" s="403" t="s">
        <v>1316</v>
      </c>
    </row>
    <row r="114" spans="1:7" ht="26.1" customHeight="1">
      <c r="A114" s="401">
        <v>111</v>
      </c>
      <c r="D114" s="899" t="str">
        <f t="shared" si="1"/>
        <v>Calcul externe annexé</v>
      </c>
      <c r="E114" s="402" t="s">
        <v>448</v>
      </c>
      <c r="F114" s="2338" t="s">
        <v>537</v>
      </c>
      <c r="G114" s="403" t="s">
        <v>1317</v>
      </c>
    </row>
    <row r="115" spans="1:7" ht="35.25" customHeight="1">
      <c r="A115" s="909">
        <v>112</v>
      </c>
      <c r="B115" s="931"/>
      <c r="C115" s="931"/>
      <c r="D115" s="910" t="str">
        <f t="shared" si="1"/>
        <v>Remarque: dans la feuille 'Entrée' une installation de ventilation avec PAC intégrée a été choisie
-&gt; choisir une PAC avec air fourni comme mode de production de chaleur</v>
      </c>
      <c r="E115" s="402" t="s">
        <v>262</v>
      </c>
      <c r="F115" s="2338" t="s">
        <v>154</v>
      </c>
      <c r="G115" s="913" t="s">
        <v>1318</v>
      </c>
    </row>
    <row r="116" spans="1:7" s="914" customFormat="1" ht="25.9" customHeight="1">
      <c r="A116" s="401">
        <v>113</v>
      </c>
      <c r="B116" s="929" t="s">
        <v>53</v>
      </c>
      <c r="C116" s="929" t="s">
        <v>947</v>
      </c>
      <c r="D116" s="899" t="str">
        <f t="shared" si="1"/>
        <v>1) Joindre un calcul externe et introduire les valeurs aux cellules F40 - I43</v>
      </c>
      <c r="E116" s="911" t="s">
        <v>1115</v>
      </c>
      <c r="F116" s="912" t="s">
        <v>1116</v>
      </c>
      <c r="G116" s="403" t="s">
        <v>1319</v>
      </c>
    </row>
    <row r="117" spans="1:7" ht="25.9" customHeight="1">
      <c r="A117" s="470">
        <v>114</v>
      </c>
      <c r="B117" s="929" t="s">
        <v>53</v>
      </c>
      <c r="C117" s="901" t="s">
        <v>1203</v>
      </c>
      <c r="D117" s="900" t="str">
        <f t="shared" si="1"/>
        <v>EGID:</v>
      </c>
      <c r="E117" s="402" t="s">
        <v>1204</v>
      </c>
      <c r="F117" s="2338" t="s">
        <v>1320</v>
      </c>
      <c r="G117" s="472" t="s">
        <v>1320</v>
      </c>
    </row>
    <row r="118" spans="1:7" ht="25.9" customHeight="1">
      <c r="A118" s="401">
        <v>115</v>
      </c>
      <c r="B118" s="929" t="s">
        <v>622</v>
      </c>
      <c r="C118" s="929" t="s">
        <v>54</v>
      </c>
      <c r="D118" s="899" t="str">
        <f t="shared" si="1"/>
        <v>Argovie</v>
      </c>
      <c r="E118" s="402" t="s">
        <v>610</v>
      </c>
      <c r="F118" s="2338" t="s">
        <v>558</v>
      </c>
      <c r="G118" s="403" t="s">
        <v>1321</v>
      </c>
    </row>
    <row r="119" spans="1:7" ht="25.9" customHeight="1">
      <c r="A119" s="401">
        <v>116</v>
      </c>
      <c r="B119" s="929" t="s">
        <v>622</v>
      </c>
      <c r="C119" s="929" t="s">
        <v>55</v>
      </c>
      <c r="D119" s="899" t="str">
        <f t="shared" si="1"/>
        <v>Appenzell Rhodes-Intérieures</v>
      </c>
      <c r="E119" s="402" t="s">
        <v>611</v>
      </c>
      <c r="F119" s="2338" t="s">
        <v>559</v>
      </c>
      <c r="G119" s="403" t="s">
        <v>1322</v>
      </c>
    </row>
    <row r="120" spans="1:7" ht="25.9" customHeight="1">
      <c r="A120" s="401">
        <v>117</v>
      </c>
      <c r="B120" s="929" t="s">
        <v>622</v>
      </c>
      <c r="C120" s="929" t="s">
        <v>56</v>
      </c>
      <c r="D120" s="899" t="str">
        <f t="shared" si="1"/>
        <v>Appenzell Rhodes-Extérieures</v>
      </c>
      <c r="E120" s="402" t="s">
        <v>612</v>
      </c>
      <c r="F120" s="2338" t="s">
        <v>1713</v>
      </c>
      <c r="G120" s="403" t="s">
        <v>1323</v>
      </c>
    </row>
    <row r="121" spans="1:7" ht="25.9" customHeight="1">
      <c r="A121" s="401">
        <v>118</v>
      </c>
      <c r="B121" s="929" t="s">
        <v>622</v>
      </c>
      <c r="C121" s="929" t="s">
        <v>57</v>
      </c>
      <c r="D121" s="899" t="str">
        <f t="shared" si="1"/>
        <v>Berne</v>
      </c>
      <c r="E121" s="402" t="s">
        <v>280</v>
      </c>
      <c r="F121" s="2338" t="s">
        <v>560</v>
      </c>
      <c r="G121" s="403" t="s">
        <v>1324</v>
      </c>
    </row>
    <row r="122" spans="1:7" ht="25.9" customHeight="1">
      <c r="A122" s="401">
        <v>119</v>
      </c>
      <c r="B122" s="929" t="s">
        <v>622</v>
      </c>
      <c r="C122" s="929" t="s">
        <v>58</v>
      </c>
      <c r="D122" s="899" t="str">
        <f t="shared" si="1"/>
        <v>Bâle-Campagne</v>
      </c>
      <c r="E122" s="402" t="s">
        <v>613</v>
      </c>
      <c r="F122" s="2338" t="s">
        <v>561</v>
      </c>
      <c r="G122" s="403" t="s">
        <v>1325</v>
      </c>
    </row>
    <row r="123" spans="1:7" ht="25.9" customHeight="1">
      <c r="A123" s="401">
        <v>120</v>
      </c>
      <c r="B123" s="929" t="s">
        <v>622</v>
      </c>
      <c r="C123" s="929" t="s">
        <v>59</v>
      </c>
      <c r="D123" s="899" t="str">
        <f t="shared" si="1"/>
        <v>Bâle-Ville</v>
      </c>
      <c r="E123" s="402" t="s">
        <v>614</v>
      </c>
      <c r="F123" s="2338" t="s">
        <v>562</v>
      </c>
      <c r="G123" s="403" t="s">
        <v>1326</v>
      </c>
    </row>
    <row r="124" spans="1:7" ht="25.9" customHeight="1">
      <c r="A124" s="401">
        <v>121</v>
      </c>
      <c r="B124" s="929" t="s">
        <v>622</v>
      </c>
      <c r="C124" s="929" t="s">
        <v>60</v>
      </c>
      <c r="D124" s="899" t="str">
        <f t="shared" si="1"/>
        <v>Fribourg</v>
      </c>
      <c r="E124" s="402" t="s">
        <v>283</v>
      </c>
      <c r="F124" s="2338" t="s">
        <v>283</v>
      </c>
      <c r="G124" s="403" t="s">
        <v>1327</v>
      </c>
    </row>
    <row r="125" spans="1:7" ht="25.9" customHeight="1">
      <c r="A125" s="401">
        <v>122</v>
      </c>
      <c r="B125" s="929" t="s">
        <v>622</v>
      </c>
      <c r="C125" s="929" t="s">
        <v>61</v>
      </c>
      <c r="D125" s="899" t="str">
        <f t="shared" si="1"/>
        <v>Genève</v>
      </c>
      <c r="E125" s="402" t="s">
        <v>284</v>
      </c>
      <c r="F125" s="2338" t="s">
        <v>284</v>
      </c>
      <c r="G125" s="403" t="s">
        <v>1328</v>
      </c>
    </row>
    <row r="126" spans="1:7" ht="25.9" customHeight="1">
      <c r="A126" s="401">
        <v>123</v>
      </c>
      <c r="B126" s="929" t="s">
        <v>622</v>
      </c>
      <c r="C126" s="929" t="s">
        <v>62</v>
      </c>
      <c r="D126" s="899" t="str">
        <f t="shared" si="1"/>
        <v>Glaris</v>
      </c>
      <c r="E126" s="402" t="s">
        <v>288</v>
      </c>
      <c r="F126" s="2338" t="s">
        <v>563</v>
      </c>
      <c r="G126" s="403" t="s">
        <v>1329</v>
      </c>
    </row>
    <row r="127" spans="1:7" ht="25.9" customHeight="1">
      <c r="A127" s="401">
        <v>124</v>
      </c>
      <c r="B127" s="929" t="s">
        <v>622</v>
      </c>
      <c r="C127" s="929" t="s">
        <v>63</v>
      </c>
      <c r="D127" s="899" t="str">
        <f t="shared" si="1"/>
        <v>Grisons</v>
      </c>
      <c r="E127" s="402" t="s">
        <v>453</v>
      </c>
      <c r="F127" s="2338" t="s">
        <v>1714</v>
      </c>
      <c r="G127" s="403" t="s">
        <v>1330</v>
      </c>
    </row>
    <row r="128" spans="1:7" ht="25.9" customHeight="1">
      <c r="A128" s="401">
        <v>125</v>
      </c>
      <c r="B128" s="929" t="s">
        <v>622</v>
      </c>
      <c r="C128" s="929" t="s">
        <v>861</v>
      </c>
      <c r="D128" s="899" t="str">
        <f t="shared" si="1"/>
        <v>Jura</v>
      </c>
      <c r="E128" s="402" t="s">
        <v>435</v>
      </c>
      <c r="F128" s="2338" t="s">
        <v>435</v>
      </c>
      <c r="G128" s="403" t="s">
        <v>1331</v>
      </c>
    </row>
    <row r="129" spans="1:7" ht="25.9" customHeight="1">
      <c r="A129" s="401">
        <v>126</v>
      </c>
      <c r="B129" s="929" t="s">
        <v>622</v>
      </c>
      <c r="C129" s="929" t="s">
        <v>64</v>
      </c>
      <c r="D129" s="899" t="str">
        <f t="shared" si="1"/>
        <v>Lucerne</v>
      </c>
      <c r="E129" s="402" t="s">
        <v>281</v>
      </c>
      <c r="F129" s="2338" t="s">
        <v>564</v>
      </c>
      <c r="G129" s="403" t="s">
        <v>1332</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Nidwald</v>
      </c>
      <c r="E131" s="402" t="s">
        <v>451</v>
      </c>
      <c r="F131" s="2338" t="s">
        <v>565</v>
      </c>
      <c r="G131" s="403" t="s">
        <v>1333</v>
      </c>
    </row>
    <row r="132" spans="1:7" ht="25.9" customHeight="1">
      <c r="A132" s="401">
        <v>129</v>
      </c>
      <c r="B132" s="929" t="s">
        <v>622</v>
      </c>
      <c r="C132" s="929" t="s">
        <v>67</v>
      </c>
      <c r="D132" s="899" t="str">
        <f t="shared" si="1"/>
        <v>Obwald</v>
      </c>
      <c r="E132" s="402" t="s">
        <v>450</v>
      </c>
      <c r="F132" s="2338" t="s">
        <v>566</v>
      </c>
      <c r="G132" s="403" t="s">
        <v>1334</v>
      </c>
    </row>
    <row r="133" spans="1:7" ht="25.9" customHeight="1">
      <c r="A133" s="401">
        <v>130</v>
      </c>
      <c r="B133" s="929" t="s">
        <v>622</v>
      </c>
      <c r="C133" s="929" t="s">
        <v>68</v>
      </c>
      <c r="D133" s="899" t="str">
        <f t="shared" ref="D133:D196" si="2">INDEX($E$4:$G$503,$A133,$A$1)</f>
        <v>St-Gall</v>
      </c>
      <c r="E133" s="402" t="s">
        <v>276</v>
      </c>
      <c r="F133" s="2338" t="s">
        <v>567</v>
      </c>
      <c r="G133" s="403" t="s">
        <v>1335</v>
      </c>
    </row>
    <row r="134" spans="1:7" ht="25.9" customHeight="1">
      <c r="A134" s="401">
        <v>131</v>
      </c>
      <c r="B134" s="929" t="s">
        <v>622</v>
      </c>
      <c r="C134" s="929" t="s">
        <v>69</v>
      </c>
      <c r="D134" s="899" t="str">
        <f t="shared" si="2"/>
        <v>Schaffhouse</v>
      </c>
      <c r="E134" s="402" t="s">
        <v>274</v>
      </c>
      <c r="F134" s="2338" t="s">
        <v>568</v>
      </c>
      <c r="G134" s="403" t="s">
        <v>1336</v>
      </c>
    </row>
    <row r="135" spans="1:7" ht="25.9" customHeight="1">
      <c r="A135" s="401">
        <v>132</v>
      </c>
      <c r="B135" s="929" t="s">
        <v>622</v>
      </c>
      <c r="C135" s="929" t="s">
        <v>70</v>
      </c>
      <c r="D135" s="899" t="str">
        <f t="shared" si="2"/>
        <v>Soleure</v>
      </c>
      <c r="E135" s="402" t="s">
        <v>263</v>
      </c>
      <c r="F135" s="2338" t="s">
        <v>569</v>
      </c>
      <c r="G135" s="403" t="s">
        <v>1337</v>
      </c>
    </row>
    <row r="136" spans="1:7" ht="25.9" customHeight="1">
      <c r="A136" s="401">
        <v>133</v>
      </c>
      <c r="B136" s="929" t="s">
        <v>622</v>
      </c>
      <c r="C136" s="929" t="s">
        <v>71</v>
      </c>
      <c r="D136" s="899" t="str">
        <f t="shared" si="2"/>
        <v>Schwytz</v>
      </c>
      <c r="E136" s="402" t="s">
        <v>449</v>
      </c>
      <c r="F136" s="2338" t="s">
        <v>570</v>
      </c>
      <c r="G136" s="403" t="s">
        <v>1338</v>
      </c>
    </row>
    <row r="137" spans="1:7" ht="25.9" customHeight="1">
      <c r="A137" s="401">
        <v>134</v>
      </c>
      <c r="B137" s="929" t="s">
        <v>622</v>
      </c>
      <c r="C137" s="929" t="s">
        <v>72</v>
      </c>
      <c r="D137" s="899" t="str">
        <f t="shared" si="2"/>
        <v>Thurgovie</v>
      </c>
      <c r="E137" s="402" t="s">
        <v>434</v>
      </c>
      <c r="F137" s="2338" t="s">
        <v>571</v>
      </c>
      <c r="G137" s="403" t="s">
        <v>1339</v>
      </c>
    </row>
    <row r="138" spans="1:7" ht="25.9" customHeight="1">
      <c r="A138" s="401">
        <v>135</v>
      </c>
      <c r="B138" s="929" t="s">
        <v>622</v>
      </c>
      <c r="C138" s="929" t="s">
        <v>73</v>
      </c>
      <c r="D138" s="899" t="str">
        <f t="shared" si="2"/>
        <v>Tessin</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Valais</v>
      </c>
      <c r="E141" s="402" t="s">
        <v>431</v>
      </c>
      <c r="F141" s="2338" t="s">
        <v>573</v>
      </c>
      <c r="G141" s="403" t="s">
        <v>1341</v>
      </c>
    </row>
    <row r="142" spans="1:7" ht="25.9" customHeight="1">
      <c r="A142" s="401">
        <v>139</v>
      </c>
      <c r="B142" s="929" t="s">
        <v>622</v>
      </c>
      <c r="C142" s="929" t="s">
        <v>77</v>
      </c>
      <c r="D142" s="899" t="str">
        <f t="shared" si="2"/>
        <v>Zoug</v>
      </c>
      <c r="E142" s="402" t="s">
        <v>432</v>
      </c>
      <c r="F142" s="2338" t="s">
        <v>574</v>
      </c>
      <c r="G142" s="403" t="s">
        <v>1342</v>
      </c>
    </row>
    <row r="143" spans="1:7" ht="25.9" customHeight="1">
      <c r="A143" s="401">
        <v>140</v>
      </c>
      <c r="B143" s="929" t="s">
        <v>622</v>
      </c>
      <c r="C143" s="929" t="s">
        <v>78</v>
      </c>
      <c r="D143" s="899" t="str">
        <f t="shared" si="2"/>
        <v>Zurich</v>
      </c>
      <c r="E143" s="402" t="s">
        <v>433</v>
      </c>
      <c r="F143" s="2338" t="s">
        <v>575</v>
      </c>
      <c r="G143" s="403" t="s">
        <v>1343</v>
      </c>
    </row>
    <row r="144" spans="1:7" ht="25.9" customHeight="1">
      <c r="A144" s="401">
        <v>141</v>
      </c>
      <c r="B144" s="929" t="s">
        <v>622</v>
      </c>
      <c r="C144" s="929" t="s">
        <v>79</v>
      </c>
      <c r="D144" s="899" t="str">
        <f t="shared" si="2"/>
        <v>Principauté du Liechtenstein</v>
      </c>
      <c r="E144" s="402" t="s">
        <v>616</v>
      </c>
      <c r="F144" s="2338" t="s">
        <v>576</v>
      </c>
      <c r="G144" s="403" t="s">
        <v>1344</v>
      </c>
    </row>
    <row r="145" spans="1:7" ht="25.9" customHeight="1">
      <c r="A145" s="401">
        <v>142</v>
      </c>
      <c r="B145" s="929" t="s">
        <v>622</v>
      </c>
      <c r="C145" s="929" t="s">
        <v>548</v>
      </c>
      <c r="D145" s="899" t="str">
        <f t="shared" si="2"/>
        <v>spécial</v>
      </c>
      <c r="E145" s="402" t="s">
        <v>547</v>
      </c>
      <c r="F145" s="2338" t="s">
        <v>577</v>
      </c>
      <c r="G145" s="403" t="s">
        <v>1345</v>
      </c>
    </row>
    <row r="146" spans="1:7" ht="25.9" customHeight="1">
      <c r="A146" s="401">
        <v>143</v>
      </c>
      <c r="B146" s="929" t="s">
        <v>53</v>
      </c>
      <c r="C146" s="929" t="s">
        <v>933</v>
      </c>
      <c r="D146" s="899" t="str">
        <f t="shared" si="2"/>
        <v>Signature</v>
      </c>
      <c r="E146" s="402" t="s">
        <v>761</v>
      </c>
      <c r="F146" s="2338" t="s">
        <v>1555</v>
      </c>
      <c r="G146" s="403" t="s">
        <v>1346</v>
      </c>
    </row>
    <row r="147" spans="1:7" ht="25.9" customHeight="1">
      <c r="A147" s="401">
        <v>144</v>
      </c>
      <c r="B147" s="929" t="s">
        <v>53</v>
      </c>
      <c r="C147" s="929" t="s">
        <v>934</v>
      </c>
      <c r="D147" s="899" t="str">
        <f t="shared" si="2"/>
        <v>Justificatif établi par:</v>
      </c>
      <c r="E147" s="402" t="s">
        <v>762</v>
      </c>
      <c r="F147" s="2338" t="s">
        <v>1556</v>
      </c>
      <c r="G147" s="403" t="s">
        <v>1347</v>
      </c>
    </row>
    <row r="148" spans="1:7" ht="25.9" customHeight="1">
      <c r="A148" s="401">
        <v>145</v>
      </c>
      <c r="B148" s="929" t="s">
        <v>53</v>
      </c>
      <c r="C148" s="929" t="s">
        <v>935</v>
      </c>
      <c r="D148" s="899" t="str">
        <f t="shared" si="2"/>
        <v>Contrôle du justificatif/Contrôle privé:</v>
      </c>
      <c r="E148" s="402" t="s">
        <v>763</v>
      </c>
      <c r="F148" s="2338" t="s">
        <v>1557</v>
      </c>
      <c r="G148" s="403" t="s">
        <v>1348</v>
      </c>
    </row>
    <row r="149" spans="1:7" ht="25.9" customHeight="1">
      <c r="A149" s="401">
        <v>146</v>
      </c>
      <c r="B149" s="929" t="s">
        <v>53</v>
      </c>
      <c r="C149" s="929" t="s">
        <v>936</v>
      </c>
      <c r="D149" s="899" t="str">
        <f t="shared" si="2"/>
        <v>Certifié complet et correct</v>
      </c>
      <c r="E149" s="402" t="s">
        <v>764</v>
      </c>
      <c r="F149" s="2338" t="s">
        <v>1558</v>
      </c>
      <c r="G149" s="403" t="s">
        <v>1349</v>
      </c>
    </row>
    <row r="150" spans="1:7" ht="25.9" customHeight="1">
      <c r="A150" s="401">
        <v>147</v>
      </c>
      <c r="B150" s="929" t="s">
        <v>53</v>
      </c>
      <c r="C150" s="929" t="s">
        <v>937</v>
      </c>
      <c r="D150" s="899" t="str">
        <f t="shared" si="2"/>
        <v>Nom et adresse</v>
      </c>
      <c r="E150" s="402" t="s">
        <v>765</v>
      </c>
      <c r="F150" s="2338" t="s">
        <v>1559</v>
      </c>
      <c r="G150" s="403" t="s">
        <v>1350</v>
      </c>
    </row>
    <row r="151" spans="1:7" ht="25.9" customHeight="1">
      <c r="A151" s="401">
        <v>148</v>
      </c>
      <c r="B151" s="929" t="s">
        <v>53</v>
      </c>
      <c r="C151" s="929" t="s">
        <v>938</v>
      </c>
      <c r="D151" s="899" t="str">
        <f t="shared" si="2"/>
        <v>ou tampon de l'entreprise</v>
      </c>
      <c r="E151" s="402" t="s">
        <v>766</v>
      </c>
      <c r="F151" s="2338" t="s">
        <v>1560</v>
      </c>
      <c r="G151" s="403" t="s">
        <v>1351</v>
      </c>
    </row>
    <row r="152" spans="1:7" ht="25.9" customHeight="1">
      <c r="A152" s="401">
        <v>149</v>
      </c>
      <c r="B152" s="929" t="s">
        <v>53</v>
      </c>
      <c r="C152" s="929" t="s">
        <v>939</v>
      </c>
      <c r="D152" s="899" t="str">
        <f t="shared" si="2"/>
        <v>Responsable, tél.:</v>
      </c>
      <c r="E152" s="402" t="s">
        <v>767</v>
      </c>
      <c r="F152" s="2338" t="s">
        <v>1561</v>
      </c>
      <c r="G152" s="403" t="s">
        <v>1352</v>
      </c>
    </row>
    <row r="153" spans="1:7" ht="25.9" customHeight="1">
      <c r="A153" s="401">
        <v>150</v>
      </c>
      <c r="B153" s="929" t="s">
        <v>53</v>
      </c>
      <c r="C153" s="929" t="s">
        <v>942</v>
      </c>
      <c r="D153" s="899" t="str">
        <f t="shared" si="2"/>
        <v>Lieu, date, signature:</v>
      </c>
      <c r="E153" s="402" t="s">
        <v>768</v>
      </c>
      <c r="F153" s="2338" t="s">
        <v>1562</v>
      </c>
      <c r="G153" s="403" t="s">
        <v>1353</v>
      </c>
    </row>
    <row r="154" spans="1:7" ht="25.9" customHeight="1">
      <c r="A154" s="401">
        <v>151</v>
      </c>
      <c r="B154" s="929" t="s">
        <v>53</v>
      </c>
      <c r="C154" s="929" t="s">
        <v>943</v>
      </c>
      <c r="D154" s="899" t="str">
        <f t="shared" si="2"/>
        <v>Contrôle d'exécution</v>
      </c>
      <c r="E154" s="402" t="s">
        <v>769</v>
      </c>
      <c r="F154" s="2338" t="s">
        <v>1563</v>
      </c>
      <c r="G154" s="403" t="s">
        <v>1354</v>
      </c>
    </row>
    <row r="155" spans="1:7" ht="25.9" customHeight="1">
      <c r="A155" s="401">
        <v>152</v>
      </c>
      <c r="B155" s="929" t="s">
        <v>53</v>
      </c>
      <c r="C155" s="929" t="s">
        <v>945</v>
      </c>
      <c r="D155" s="899" t="str">
        <f t="shared" si="2"/>
        <v>même personne</v>
      </c>
      <c r="E155" s="402" t="s">
        <v>777</v>
      </c>
      <c r="F155" s="2338" t="s">
        <v>1564</v>
      </c>
      <c r="G155" s="403" t="s">
        <v>1355</v>
      </c>
    </row>
    <row r="156" spans="1:7" ht="25.9" customHeight="1">
      <c r="A156" s="919">
        <v>153</v>
      </c>
      <c r="B156" s="932" t="s">
        <v>53</v>
      </c>
      <c r="C156" s="932" t="s">
        <v>946</v>
      </c>
      <c r="D156" s="920" t="str">
        <f t="shared" si="2"/>
        <v>ou:</v>
      </c>
      <c r="E156" s="921" t="s">
        <v>778</v>
      </c>
      <c r="F156" s="922" t="s">
        <v>1565</v>
      </c>
      <c r="G156" s="923" t="s">
        <v>1356</v>
      </c>
    </row>
    <row r="157" spans="1:7" ht="25.9" customHeight="1">
      <c r="A157" s="470">
        <v>154</v>
      </c>
      <c r="B157" s="929" t="s">
        <v>622</v>
      </c>
      <c r="C157" s="929" t="s">
        <v>948</v>
      </c>
      <c r="D157" s="900" t="str">
        <f t="shared" si="2"/>
        <v>Chaudière à mazout</v>
      </c>
      <c r="E157" s="471" t="s">
        <v>203</v>
      </c>
      <c r="F157" s="904" t="s">
        <v>1566</v>
      </c>
      <c r="G157" s="472" t="s">
        <v>1357</v>
      </c>
    </row>
    <row r="158" spans="1:7" ht="25.9" customHeight="1">
      <c r="A158" s="401">
        <v>155</v>
      </c>
      <c r="B158" s="929" t="s">
        <v>622</v>
      </c>
      <c r="C158" s="929" t="s">
        <v>949</v>
      </c>
      <c r="D158" s="899" t="str">
        <f t="shared" si="2"/>
        <v>Chaudière à mazout à condensation, que chauffage</v>
      </c>
      <c r="E158" s="402" t="s">
        <v>86</v>
      </c>
      <c r="F158" s="2338" t="s">
        <v>1567</v>
      </c>
      <c r="G158" s="403" t="s">
        <v>1358</v>
      </c>
    </row>
    <row r="159" spans="1:7" ht="25.9" customHeight="1">
      <c r="A159" s="401">
        <v>156</v>
      </c>
      <c r="B159" s="929" t="s">
        <v>622</v>
      </c>
      <c r="C159" s="929" t="s">
        <v>950</v>
      </c>
      <c r="D159" s="899" t="str">
        <f t="shared" si="2"/>
        <v xml:space="preserve">Chaudière à mazout à condensation, qu'eau chaude </v>
      </c>
      <c r="E159" s="402" t="s">
        <v>87</v>
      </c>
      <c r="F159" s="2338" t="s">
        <v>1568</v>
      </c>
      <c r="G159" s="403" t="s">
        <v>1359</v>
      </c>
    </row>
    <row r="160" spans="1:7" ht="25.9" customHeight="1">
      <c r="A160" s="401">
        <v>157</v>
      </c>
      <c r="B160" s="929" t="s">
        <v>622</v>
      </c>
      <c r="C160" s="929" t="s">
        <v>951</v>
      </c>
      <c r="D160" s="899" t="str">
        <f t="shared" si="2"/>
        <v>Chaudière à gaz</v>
      </c>
      <c r="E160" s="402" t="s">
        <v>204</v>
      </c>
      <c r="F160" s="2338" t="s">
        <v>1569</v>
      </c>
      <c r="G160" s="403" t="s">
        <v>1360</v>
      </c>
    </row>
    <row r="161" spans="1:7" ht="25.9" customHeight="1">
      <c r="A161" s="401">
        <v>158</v>
      </c>
      <c r="B161" s="929" t="s">
        <v>622</v>
      </c>
      <c r="C161" s="929" t="s">
        <v>952</v>
      </c>
      <c r="D161" s="899" t="str">
        <f t="shared" si="2"/>
        <v>Chaudière à gaz à condensation, que chauffage</v>
      </c>
      <c r="E161" s="402" t="s">
        <v>88</v>
      </c>
      <c r="F161" s="2338" t="s">
        <v>1570</v>
      </c>
      <c r="G161" s="403" t="s">
        <v>1361</v>
      </c>
    </row>
    <row r="162" spans="1:7" ht="25.9" customHeight="1">
      <c r="A162" s="401">
        <v>159</v>
      </c>
      <c r="B162" s="929" t="s">
        <v>622</v>
      </c>
      <c r="C162" s="929" t="s">
        <v>953</v>
      </c>
      <c r="D162" s="899" t="str">
        <f t="shared" si="2"/>
        <v>Chaudière à gaz à condensation, qu'eau chaude</v>
      </c>
      <c r="E162" s="402" t="s">
        <v>89</v>
      </c>
      <c r="F162" s="2338" t="s">
        <v>1571</v>
      </c>
      <c r="G162" s="403" t="s">
        <v>1362</v>
      </c>
    </row>
    <row r="163" spans="1:7" ht="26.1" customHeight="1">
      <c r="A163" s="401">
        <v>160</v>
      </c>
      <c r="B163" s="929" t="s">
        <v>622</v>
      </c>
      <c r="C163" s="929" t="s">
        <v>954</v>
      </c>
      <c r="D163" s="899" t="str">
        <f t="shared" si="2"/>
        <v>Chauffe-eau à gaz</v>
      </c>
      <c r="E163" s="402" t="s">
        <v>205</v>
      </c>
      <c r="F163" s="2338" t="s">
        <v>1572</v>
      </c>
      <c r="G163" s="403" t="s">
        <v>1363</v>
      </c>
    </row>
    <row r="164" spans="1:7" ht="26.1" customHeight="1">
      <c r="A164" s="401">
        <v>161</v>
      </c>
      <c r="B164" s="929" t="s">
        <v>622</v>
      </c>
      <c r="C164" s="929" t="s">
        <v>955</v>
      </c>
      <c r="D164" s="899" t="str">
        <f t="shared" si="2"/>
        <v>Chauffage au bois</v>
      </c>
      <c r="E164" s="402" t="s">
        <v>318</v>
      </c>
      <c r="F164" s="2338" t="s">
        <v>1573</v>
      </c>
      <c r="G164" s="403" t="s">
        <v>1364</v>
      </c>
    </row>
    <row r="165" spans="1:7" ht="26.1" customHeight="1">
      <c r="A165" s="401">
        <v>162</v>
      </c>
      <c r="B165" s="929" t="s">
        <v>622</v>
      </c>
      <c r="C165" s="929" t="s">
        <v>956</v>
      </c>
      <c r="D165" s="899" t="str">
        <f t="shared" si="2"/>
        <v>Chauffage au pellets</v>
      </c>
      <c r="E165" s="402" t="s">
        <v>22</v>
      </c>
      <c r="F165" s="2338" t="s">
        <v>1574</v>
      </c>
      <c r="G165" s="403" t="s">
        <v>1365</v>
      </c>
    </row>
    <row r="166" spans="1:7" ht="26.1" customHeight="1">
      <c r="A166" s="401">
        <v>163</v>
      </c>
      <c r="B166" s="929" t="s">
        <v>622</v>
      </c>
      <c r="C166" s="929" t="s">
        <v>957</v>
      </c>
      <c r="D166" s="899" t="str">
        <f t="shared" si="2"/>
        <v>Chaleur à distance (min. 50% énergies ren., rejets, CCF)</v>
      </c>
      <c r="E166" s="402" t="s">
        <v>1225</v>
      </c>
      <c r="F166" s="2338" t="s">
        <v>1575</v>
      </c>
      <c r="G166" s="403" t="s">
        <v>1480</v>
      </c>
    </row>
    <row r="167" spans="1:7" ht="26.1" customHeight="1">
      <c r="A167" s="401">
        <v>164</v>
      </c>
      <c r="B167" s="929" t="s">
        <v>622</v>
      </c>
      <c r="C167" s="929" t="s">
        <v>958</v>
      </c>
      <c r="D167" s="899" t="str">
        <f t="shared" si="2"/>
        <v>Chauffage central électrique</v>
      </c>
      <c r="E167" s="402" t="s">
        <v>186</v>
      </c>
      <c r="F167" s="2338" t="s">
        <v>1576</v>
      </c>
      <c r="G167" s="403" t="s">
        <v>1366</v>
      </c>
    </row>
    <row r="168" spans="1:7" ht="26.1" customHeight="1">
      <c r="A168" s="401">
        <v>165</v>
      </c>
      <c r="B168" s="929" t="s">
        <v>622</v>
      </c>
      <c r="C168" s="929" t="s">
        <v>959</v>
      </c>
      <c r="D168" s="899" t="str">
        <f t="shared" si="2"/>
        <v>Chauffage électrique direct</v>
      </c>
      <c r="E168" s="402" t="s">
        <v>45</v>
      </c>
      <c r="F168" s="2338" t="s">
        <v>1577</v>
      </c>
      <c r="G168" s="403" t="s">
        <v>1367</v>
      </c>
    </row>
    <row r="169" spans="1:7" ht="26.1" customHeight="1">
      <c r="A169" s="401">
        <v>166</v>
      </c>
      <c r="B169" s="929" t="s">
        <v>622</v>
      </c>
      <c r="C169" s="929" t="s">
        <v>960</v>
      </c>
      <c r="D169" s="899" t="str">
        <f t="shared" si="2"/>
        <v>Chauffe-eau électrique</v>
      </c>
      <c r="E169" s="402" t="s">
        <v>145</v>
      </c>
      <c r="F169" s="2338" t="s">
        <v>1578</v>
      </c>
      <c r="G169" s="403" t="s">
        <v>1368</v>
      </c>
    </row>
    <row r="170" spans="1:7" ht="26.1" customHeight="1">
      <c r="A170" s="401">
        <v>167</v>
      </c>
      <c r="B170" s="929" t="s">
        <v>622</v>
      </c>
      <c r="C170" s="929" t="s">
        <v>961</v>
      </c>
      <c r="D170" s="899" t="str">
        <f t="shared" si="2"/>
        <v>CCF (fossile) - part thermique et électrique</v>
      </c>
      <c r="E170" s="402" t="s">
        <v>707</v>
      </c>
      <c r="F170" s="2338" t="s">
        <v>1579</v>
      </c>
      <c r="G170" s="403" t="s">
        <v>1369</v>
      </c>
    </row>
    <row r="171" spans="1:7" ht="26.1" customHeight="1">
      <c r="A171" s="401">
        <v>168</v>
      </c>
      <c r="B171" s="929" t="s">
        <v>622</v>
      </c>
      <c r="C171" s="929" t="s">
        <v>962</v>
      </c>
      <c r="D171" s="899" t="str">
        <f t="shared" si="2"/>
        <v>CCF (bois) - part thermique et électrique</v>
      </c>
      <c r="E171" s="402" t="s">
        <v>458</v>
      </c>
      <c r="F171" s="2338" t="s">
        <v>1580</v>
      </c>
      <c r="G171" s="403" t="s">
        <v>1370</v>
      </c>
    </row>
    <row r="172" spans="1:7" ht="25.9" customHeight="1">
      <c r="A172" s="401">
        <v>169</v>
      </c>
      <c r="B172" s="929" t="s">
        <v>622</v>
      </c>
      <c r="C172" s="929" t="s">
        <v>963</v>
      </c>
      <c r="D172" s="899" t="str">
        <f t="shared" si="2"/>
        <v>Pompe à chaleur air-eau, que chauffage</v>
      </c>
      <c r="E172" s="402" t="s">
        <v>90</v>
      </c>
      <c r="F172" s="2338" t="s">
        <v>1715</v>
      </c>
      <c r="G172" s="403" t="s">
        <v>2752</v>
      </c>
    </row>
    <row r="173" spans="1:7" ht="25.9" customHeight="1">
      <c r="A173" s="401">
        <v>170</v>
      </c>
      <c r="B173" s="929" t="s">
        <v>622</v>
      </c>
      <c r="C173" s="929" t="s">
        <v>964</v>
      </c>
      <c r="D173" s="899" t="str">
        <f t="shared" si="2"/>
        <v>Pompe à chaleur air-eau, qu'eau chaude</v>
      </c>
      <c r="E173" s="402" t="s">
        <v>91</v>
      </c>
      <c r="F173" s="2338" t="s">
        <v>1716</v>
      </c>
      <c r="G173" s="403" t="s">
        <v>2753</v>
      </c>
    </row>
    <row r="174" spans="1:7" ht="25.9" customHeight="1">
      <c r="A174" s="401">
        <v>171</v>
      </c>
      <c r="B174" s="929" t="s">
        <v>622</v>
      </c>
      <c r="C174" s="929" t="s">
        <v>965</v>
      </c>
      <c r="D174" s="899" t="str">
        <f t="shared" si="2"/>
        <v>Pompe à chaleur géothermique, que chauffage</v>
      </c>
      <c r="E174" s="402" t="s">
        <v>92</v>
      </c>
      <c r="F174" s="2338" t="s">
        <v>1581</v>
      </c>
      <c r="G174" s="403" t="s">
        <v>1371</v>
      </c>
    </row>
    <row r="175" spans="1:7" ht="26.1" customHeight="1">
      <c r="A175" s="401">
        <v>172</v>
      </c>
      <c r="B175" s="929" t="s">
        <v>622</v>
      </c>
      <c r="C175" s="929" t="s">
        <v>966</v>
      </c>
      <c r="D175" s="899" t="str">
        <f t="shared" si="2"/>
        <v>Pompe à chaleur géothermique, qu'eau chaude</v>
      </c>
      <c r="E175" s="402" t="s">
        <v>93</v>
      </c>
      <c r="F175" s="2338" t="s">
        <v>1582</v>
      </c>
      <c r="G175" s="403" t="s">
        <v>1372</v>
      </c>
    </row>
    <row r="176" spans="1:7" ht="26.1" customHeight="1">
      <c r="A176" s="401">
        <v>173</v>
      </c>
      <c r="B176" s="929" t="s">
        <v>622</v>
      </c>
      <c r="C176" s="929" t="s">
        <v>967</v>
      </c>
      <c r="D176" s="899" t="str">
        <f t="shared" si="2"/>
        <v>Pompe à chaleur eau usée, que chauffage</v>
      </c>
      <c r="E176" s="402" t="s">
        <v>455</v>
      </c>
      <c r="F176" s="2338" t="s">
        <v>1583</v>
      </c>
      <c r="G176" s="403" t="s">
        <v>1373</v>
      </c>
    </row>
    <row r="177" spans="1:7" ht="26.1" customHeight="1">
      <c r="A177" s="401">
        <v>174</v>
      </c>
      <c r="B177" s="929" t="s">
        <v>622</v>
      </c>
      <c r="C177" s="929" t="s">
        <v>968</v>
      </c>
      <c r="D177" s="899" t="str">
        <f t="shared" si="2"/>
        <v>Pompe à chaleur eau usée, qu'eau chaude</v>
      </c>
      <c r="E177" s="402" t="s">
        <v>456</v>
      </c>
      <c r="F177" s="2338" t="s">
        <v>1584</v>
      </c>
      <c r="G177" s="403" t="s">
        <v>1374</v>
      </c>
    </row>
    <row r="178" spans="1:7" ht="26.1" customHeight="1">
      <c r="A178" s="401">
        <v>175</v>
      </c>
      <c r="B178" s="929" t="s">
        <v>622</v>
      </c>
      <c r="C178" s="929" t="s">
        <v>969</v>
      </c>
      <c r="D178" s="899" t="str">
        <f t="shared" si="2"/>
        <v>Pompe à chaleur eau-eau, que chauffage</v>
      </c>
      <c r="E178" s="402" t="s">
        <v>457</v>
      </c>
      <c r="F178" s="2338" t="s">
        <v>1585</v>
      </c>
      <c r="G178" s="403" t="s">
        <v>2754</v>
      </c>
    </row>
    <row r="179" spans="1:7" ht="26.1" customHeight="1">
      <c r="A179" s="401">
        <v>176</v>
      </c>
      <c r="B179" s="929" t="s">
        <v>622</v>
      </c>
      <c r="C179" s="929" t="s">
        <v>970</v>
      </c>
      <c r="D179" s="899" t="str">
        <f t="shared" si="2"/>
        <v>Pompe à chaleur eau-eau, qu'eau chaude</v>
      </c>
      <c r="E179" s="402" t="s">
        <v>218</v>
      </c>
      <c r="F179" s="2338" t="s">
        <v>1586</v>
      </c>
      <c r="G179" s="403" t="s">
        <v>2755</v>
      </c>
    </row>
    <row r="180" spans="1:7" ht="26.1" customHeight="1">
      <c r="A180" s="401">
        <v>177</v>
      </c>
      <c r="B180" s="929" t="s">
        <v>622</v>
      </c>
      <c r="C180" s="929" t="s">
        <v>971</v>
      </c>
      <c r="D180" s="899" t="str">
        <f t="shared" si="2"/>
        <v>Pompe à chaleur eau souterraine, directe, que chauffage</v>
      </c>
      <c r="E180" s="402" t="s">
        <v>219</v>
      </c>
      <c r="F180" s="2338" t="s">
        <v>1587</v>
      </c>
      <c r="G180" s="403" t="s">
        <v>1375</v>
      </c>
    </row>
    <row r="181" spans="1:7" ht="26.1" customHeight="1">
      <c r="A181" s="401">
        <v>178</v>
      </c>
      <c r="B181" s="929" t="s">
        <v>622</v>
      </c>
      <c r="C181" s="929" t="s">
        <v>972</v>
      </c>
      <c r="D181" s="899" t="str">
        <f t="shared" si="2"/>
        <v>Pompe à chaleur eau souterraine, directe, qu'eau chaude</v>
      </c>
      <c r="E181" s="402" t="s">
        <v>220</v>
      </c>
      <c r="F181" s="2338" t="s">
        <v>1588</v>
      </c>
      <c r="G181" s="403" t="s">
        <v>1376</v>
      </c>
    </row>
    <row r="182" spans="1:7" ht="26.1" customHeight="1">
      <c r="A182" s="401">
        <v>179</v>
      </c>
      <c r="B182" s="929" t="s">
        <v>622</v>
      </c>
      <c r="C182" s="929" t="s">
        <v>973</v>
      </c>
      <c r="D182" s="899" t="str">
        <f t="shared" si="2"/>
        <v>Pompe à chaleur eau souterraine, indirecte, que chauffage</v>
      </c>
      <c r="E182" s="402" t="s">
        <v>221</v>
      </c>
      <c r="F182" s="2338" t="s">
        <v>1589</v>
      </c>
      <c r="G182" s="403" t="s">
        <v>1377</v>
      </c>
    </row>
    <row r="183" spans="1:7" ht="26.1" customHeight="1">
      <c r="A183" s="401">
        <v>180</v>
      </c>
      <c r="B183" s="929" t="s">
        <v>622</v>
      </c>
      <c r="C183" s="929" t="s">
        <v>974</v>
      </c>
      <c r="D183" s="899" t="str">
        <f t="shared" si="2"/>
        <v>Pompe à chaleur eau souterraine, indirecte, qu'eau chaude</v>
      </c>
      <c r="E183" s="402" t="s">
        <v>222</v>
      </c>
      <c r="F183" s="2338" t="s">
        <v>1590</v>
      </c>
      <c r="G183" s="403" t="s">
        <v>1378</v>
      </c>
    </row>
    <row r="184" spans="1:7" ht="26.1" customHeight="1">
      <c r="A184" s="401">
        <v>181</v>
      </c>
      <c r="B184" s="929" t="s">
        <v>622</v>
      </c>
      <c r="C184" s="929" t="s">
        <v>975</v>
      </c>
      <c r="D184" s="899" t="str">
        <f t="shared" si="2"/>
        <v>Pompe à chaleur registre terrestre, que chauffage</v>
      </c>
      <c r="E184" s="402" t="s">
        <v>223</v>
      </c>
      <c r="F184" s="2338" t="s">
        <v>1591</v>
      </c>
      <c r="G184" s="403" t="s">
        <v>1379</v>
      </c>
    </row>
    <row r="185" spans="1:7" ht="26.1" customHeight="1">
      <c r="A185" s="401">
        <v>182</v>
      </c>
      <c r="B185" s="929" t="s">
        <v>622</v>
      </c>
      <c r="C185" s="929" t="s">
        <v>976</v>
      </c>
      <c r="D185" s="899" t="str">
        <f t="shared" si="2"/>
        <v>Pompe à chaleur registre terrestre, qu'eau chaude</v>
      </c>
      <c r="E185" s="402" t="s">
        <v>224</v>
      </c>
      <c r="F185" s="2338" t="s">
        <v>1592</v>
      </c>
      <c r="G185" s="403" t="s">
        <v>1380</v>
      </c>
    </row>
    <row r="186" spans="1:7" ht="26.1" customHeight="1">
      <c r="A186" s="401">
        <v>183</v>
      </c>
      <c r="B186" s="929" t="s">
        <v>622</v>
      </c>
      <c r="C186" s="929" t="s">
        <v>977</v>
      </c>
      <c r="D186" s="899" t="str">
        <f t="shared" si="2"/>
        <v>Capteurs solaires thermiques, que chauffage</v>
      </c>
      <c r="E186" s="402" t="s">
        <v>225</v>
      </c>
      <c r="F186" s="2338" t="s">
        <v>1593</v>
      </c>
      <c r="G186" s="403" t="s">
        <v>1381</v>
      </c>
    </row>
    <row r="187" spans="1:7" ht="26.1" customHeight="1">
      <c r="A187" s="401">
        <v>184</v>
      </c>
      <c r="B187" s="929" t="s">
        <v>622</v>
      </c>
      <c r="C187" s="929" t="s">
        <v>978</v>
      </c>
      <c r="D187" s="899" t="str">
        <f t="shared" si="2"/>
        <v>Capteurs solaires thermiques, qu'eau chaude</v>
      </c>
      <c r="E187" s="402" t="s">
        <v>226</v>
      </c>
      <c r="F187" s="2338" t="s">
        <v>1594</v>
      </c>
      <c r="G187" s="403" t="s">
        <v>1382</v>
      </c>
    </row>
    <row r="188" spans="1:7" ht="26.1" customHeight="1">
      <c r="A188" s="401">
        <v>185</v>
      </c>
      <c r="B188" s="929" t="s">
        <v>622</v>
      </c>
      <c r="C188" s="929" t="s">
        <v>979</v>
      </c>
      <c r="D188" s="899" t="str">
        <f t="shared" si="2"/>
        <v>Capteurs solaires thermiques, chauffage et eau chaude</v>
      </c>
      <c r="E188" s="402" t="s">
        <v>147</v>
      </c>
      <c r="F188" s="2338" t="s">
        <v>1595</v>
      </c>
      <c r="G188" s="403" t="s">
        <v>1383</v>
      </c>
    </row>
    <row r="189" spans="1:7" ht="26.1" customHeight="1">
      <c r="A189" s="401">
        <v>186</v>
      </c>
      <c r="B189" s="929" t="s">
        <v>622</v>
      </c>
      <c r="C189" s="929" t="s">
        <v>980</v>
      </c>
      <c r="D189" s="899" t="str">
        <f t="shared" si="2"/>
        <v>Installation photovoltaïque</v>
      </c>
      <c r="E189" s="402" t="s">
        <v>319</v>
      </c>
      <c r="F189" s="2338" t="s">
        <v>1596</v>
      </c>
      <c r="G189" s="403" t="s">
        <v>1384</v>
      </c>
    </row>
    <row r="190" spans="1:7" ht="26.1" customHeight="1">
      <c r="A190" s="401">
        <v>187</v>
      </c>
      <c r="B190" s="929" t="s">
        <v>622</v>
      </c>
      <c r="C190" s="929" t="s">
        <v>981</v>
      </c>
      <c r="D190" s="899" t="str">
        <f t="shared" si="2"/>
        <v>Rejets thermiques issus de climatisation</v>
      </c>
      <c r="E190" s="402" t="s">
        <v>3582</v>
      </c>
      <c r="F190" s="2338" t="s">
        <v>3589</v>
      </c>
      <c r="G190" s="403" t="s">
        <v>3590</v>
      </c>
    </row>
    <row r="191" spans="1:7" ht="26.1" customHeight="1">
      <c r="A191" s="401">
        <v>188</v>
      </c>
      <c r="B191" s="929" t="s">
        <v>622</v>
      </c>
      <c r="C191" s="929" t="s">
        <v>982</v>
      </c>
      <c r="D191" s="899" t="str">
        <f t="shared" si="2"/>
        <v>Rejets thermiques issus de froid industriel</v>
      </c>
      <c r="E191" s="402" t="s">
        <v>3583</v>
      </c>
      <c r="F191" s="2338" t="s">
        <v>2268</v>
      </c>
      <c r="G191" s="403" t="s">
        <v>2357</v>
      </c>
    </row>
    <row r="192" spans="1:7" ht="26.1" customHeight="1">
      <c r="A192" s="401">
        <v>189</v>
      </c>
      <c r="B192" s="929" t="s">
        <v>622</v>
      </c>
      <c r="C192" s="929" t="s">
        <v>983</v>
      </c>
      <c r="D192" s="899" t="str">
        <f t="shared" si="2"/>
        <v>Aération avec PAC air repris/fourni et récup. de chaleur</v>
      </c>
      <c r="E192" s="402" t="s">
        <v>373</v>
      </c>
      <c r="F192" s="2338" t="s">
        <v>578</v>
      </c>
      <c r="G192" s="403" t="s">
        <v>1387</v>
      </c>
    </row>
    <row r="193" spans="1:7" ht="26.1" customHeight="1">
      <c r="A193" s="401">
        <v>190</v>
      </c>
      <c r="B193" s="929" t="s">
        <v>622</v>
      </c>
      <c r="C193" s="929" t="s">
        <v>984</v>
      </c>
      <c r="D193" s="910" t="str">
        <f t="shared" si="2"/>
        <v>Aération avec PAC air repris/fourni sans récup. de chaleur</v>
      </c>
      <c r="E193" s="402" t="s">
        <v>372</v>
      </c>
      <c r="F193" s="2338" t="s">
        <v>579</v>
      </c>
      <c r="G193" s="403" t="s">
        <v>1388</v>
      </c>
    </row>
    <row r="194" spans="1:7" ht="26.1" customHeight="1">
      <c r="A194" s="924">
        <v>191</v>
      </c>
      <c r="B194" s="929" t="s">
        <v>622</v>
      </c>
      <c r="C194" s="929" t="s">
        <v>985</v>
      </c>
      <c r="D194" s="899" t="str">
        <f t="shared" si="2"/>
        <v>Aération air repris avec PAC (sans air fourni)</v>
      </c>
      <c r="E194" s="402" t="s">
        <v>351</v>
      </c>
      <c r="F194" s="2338" t="s">
        <v>580</v>
      </c>
      <c r="G194" s="403" t="s">
        <v>1389</v>
      </c>
    </row>
    <row r="195" spans="1:7" ht="26.1" customHeight="1">
      <c r="A195" s="401">
        <v>192</v>
      </c>
      <c r="B195" s="929" t="s">
        <v>622</v>
      </c>
      <c r="C195" s="929" t="s">
        <v>986</v>
      </c>
      <c r="D195" s="900" t="str">
        <f t="shared" si="2"/>
        <v>PAC compacte avec air fourni/repris avec récup. de chaleur</v>
      </c>
      <c r="E195" s="402" t="s">
        <v>358</v>
      </c>
      <c r="F195" s="2338" t="s">
        <v>1599</v>
      </c>
      <c r="G195" s="403" t="s">
        <v>1390</v>
      </c>
    </row>
    <row r="196" spans="1:7" ht="26.1" customHeight="1">
      <c r="A196" s="401">
        <v>193</v>
      </c>
      <c r="B196" s="929" t="s">
        <v>622</v>
      </c>
      <c r="C196" s="929" t="s">
        <v>987</v>
      </c>
      <c r="D196" s="899" t="str">
        <f t="shared" si="2"/>
        <v>PAC compacte avec air fourni/repris sans récup. de chaleur (que chauffage)</v>
      </c>
      <c r="E196" s="402" t="s">
        <v>370</v>
      </c>
      <c r="F196" s="2338" t="s">
        <v>1600</v>
      </c>
      <c r="G196" s="403" t="s">
        <v>1391</v>
      </c>
    </row>
    <row r="197" spans="1:7" ht="26.1" customHeight="1">
      <c r="A197" s="401">
        <v>194</v>
      </c>
      <c r="B197" s="929" t="s">
        <v>622</v>
      </c>
      <c r="C197" s="929" t="s">
        <v>988</v>
      </c>
      <c r="D197" s="899" t="str">
        <f t="shared" ref="D197:D260" si="3">INDEX($E$4:$G$503,$A197,$A$1)</f>
        <v>PAC compacte avec air fourni/repris sans récup. de chaleur (qu'eau chaude)</v>
      </c>
      <c r="E197" s="402" t="s">
        <v>371</v>
      </c>
      <c r="F197" s="2338" t="s">
        <v>1601</v>
      </c>
      <c r="G197" s="403" t="s">
        <v>1392</v>
      </c>
    </row>
    <row r="198" spans="1:7" ht="26.1" customHeight="1">
      <c r="A198" s="401">
        <v>195</v>
      </c>
      <c r="B198" s="929" t="s">
        <v>622</v>
      </c>
      <c r="C198" s="929" t="s">
        <v>989</v>
      </c>
      <c r="D198" s="899" t="str">
        <f t="shared" si="3"/>
        <v>Biomasse, connectée au réseau hydraulique</v>
      </c>
      <c r="E198" s="402" t="s">
        <v>498</v>
      </c>
      <c r="F198" s="2338" t="s">
        <v>158</v>
      </c>
      <c r="G198" s="403" t="s">
        <v>1393</v>
      </c>
    </row>
    <row r="199" spans="1:7" ht="26.1" customHeight="1">
      <c r="A199" s="401">
        <v>196</v>
      </c>
      <c r="B199" s="929" t="s">
        <v>622</v>
      </c>
      <c r="C199" s="929" t="s">
        <v>990</v>
      </c>
      <c r="D199" s="899" t="str">
        <f t="shared" si="3"/>
        <v>Chaleur à distance (max. 25% énergies ren., rejets, CCF)</v>
      </c>
      <c r="E199" s="402" t="s">
        <v>1223</v>
      </c>
      <c r="F199" s="2338" t="s">
        <v>1602</v>
      </c>
      <c r="G199" s="403" t="s">
        <v>1481</v>
      </c>
    </row>
    <row r="200" spans="1:7" ht="26.1" customHeight="1">
      <c r="A200" s="401">
        <v>197</v>
      </c>
      <c r="B200" s="929" t="s">
        <v>622</v>
      </c>
      <c r="C200" s="929" t="s">
        <v>991</v>
      </c>
      <c r="D200" s="899" t="str">
        <f t="shared" si="3"/>
        <v>Chaleur à distance (min. 25% énergies ren., rejets, CCF)</v>
      </c>
      <c r="E200" s="402" t="s">
        <v>1222</v>
      </c>
      <c r="F200" s="2338" t="s">
        <v>1603</v>
      </c>
      <c r="G200" s="403" t="s">
        <v>1482</v>
      </c>
    </row>
    <row r="201" spans="1:7" ht="26.1" customHeight="1">
      <c r="A201" s="401">
        <v>198</v>
      </c>
      <c r="B201" s="929" t="s">
        <v>622</v>
      </c>
      <c r="C201" s="929" t="s">
        <v>992</v>
      </c>
      <c r="D201" s="899" t="str">
        <f t="shared" si="3"/>
        <v>Chaleur à distance (min. 75% énergies ren., rejets, CCF)</v>
      </c>
      <c r="E201" s="402" t="s">
        <v>1221</v>
      </c>
      <c r="F201" s="2338" t="s">
        <v>1604</v>
      </c>
      <c r="G201" s="403" t="s">
        <v>1483</v>
      </c>
    </row>
    <row r="202" spans="1:7" ht="26.1" customHeight="1">
      <c r="A202" s="401">
        <v>199</v>
      </c>
      <c r="B202" s="929" t="s">
        <v>622</v>
      </c>
      <c r="C202" s="929" t="s">
        <v>993</v>
      </c>
      <c r="D202" s="899" t="str">
        <f t="shared" si="3"/>
        <v>Chaudière à mazout</v>
      </c>
      <c r="E202" s="402" t="s">
        <v>203</v>
      </c>
      <c r="F202" s="2338" t="s">
        <v>1566</v>
      </c>
      <c r="G202" s="403" t="s">
        <v>1357</v>
      </c>
    </row>
    <row r="203" spans="1:7" ht="26.1" customHeight="1">
      <c r="A203" s="401">
        <v>200</v>
      </c>
      <c r="B203" s="929" t="s">
        <v>622</v>
      </c>
      <c r="C203" s="929" t="s">
        <v>994</v>
      </c>
      <c r="D203" s="899" t="str">
        <f t="shared" si="3"/>
        <v>Chaudière à mazout à condensation</v>
      </c>
      <c r="E203" s="402" t="s">
        <v>471</v>
      </c>
      <c r="F203" s="2338" t="s">
        <v>1605</v>
      </c>
      <c r="G203" s="403" t="s">
        <v>1394</v>
      </c>
    </row>
    <row r="204" spans="1:7" ht="26.1" customHeight="1">
      <c r="A204" s="401">
        <v>201</v>
      </c>
      <c r="B204" s="929" t="s">
        <v>622</v>
      </c>
      <c r="C204" s="929" t="s">
        <v>995</v>
      </c>
      <c r="D204" s="899" t="str">
        <f t="shared" si="3"/>
        <v xml:space="preserve">Chaudière à mazout à condensation. Eau chaude. </v>
      </c>
      <c r="E204" s="402" t="s">
        <v>472</v>
      </c>
      <c r="F204" s="2338" t="s">
        <v>1606</v>
      </c>
      <c r="G204" s="403" t="s">
        <v>1395</v>
      </c>
    </row>
    <row r="205" spans="1:7" ht="26.1" customHeight="1">
      <c r="A205" s="401">
        <v>202</v>
      </c>
      <c r="B205" s="929" t="s">
        <v>622</v>
      </c>
      <c r="C205" s="929" t="s">
        <v>996</v>
      </c>
      <c r="D205" s="899" t="str">
        <f t="shared" si="3"/>
        <v>Chaudière à gaz</v>
      </c>
      <c r="E205" s="402" t="s">
        <v>204</v>
      </c>
      <c r="F205" s="2338" t="s">
        <v>1569</v>
      </c>
      <c r="G205" s="403" t="s">
        <v>1360</v>
      </c>
    </row>
    <row r="206" spans="1:7" ht="26.1" customHeight="1">
      <c r="A206" s="401">
        <v>203</v>
      </c>
      <c r="B206" s="929" t="s">
        <v>622</v>
      </c>
      <c r="C206" s="929" t="s">
        <v>997</v>
      </c>
      <c r="D206" s="899" t="str">
        <f t="shared" si="3"/>
        <v>Chaudière à gaz à condensation</v>
      </c>
      <c r="E206" s="402" t="s">
        <v>473</v>
      </c>
      <c r="F206" s="2338" t="s">
        <v>1607</v>
      </c>
      <c r="G206" s="403" t="s">
        <v>1396</v>
      </c>
    </row>
    <row r="207" spans="1:7" ht="26.1" customHeight="1">
      <c r="A207" s="401">
        <v>204</v>
      </c>
      <c r="B207" s="929" t="s">
        <v>622</v>
      </c>
      <c r="C207" s="929" t="s">
        <v>998</v>
      </c>
      <c r="D207" s="899" t="str">
        <f t="shared" si="3"/>
        <v>Chaudière à gaz à condensation. Eau chaude</v>
      </c>
      <c r="E207" s="402" t="s">
        <v>474</v>
      </c>
      <c r="F207" s="2338" t="s">
        <v>1608</v>
      </c>
      <c r="G207" s="403" t="s">
        <v>1397</v>
      </c>
    </row>
    <row r="208" spans="1:7" ht="26.1" customHeight="1">
      <c r="A208" s="401">
        <v>205</v>
      </c>
      <c r="B208" s="929" t="s">
        <v>622</v>
      </c>
      <c r="C208" s="929" t="s">
        <v>999</v>
      </c>
      <c r="D208" s="899" t="str">
        <f t="shared" si="3"/>
        <v>Chauffe-eau à gaz</v>
      </c>
      <c r="E208" s="402" t="s">
        <v>205</v>
      </c>
      <c r="F208" s="2338" t="s">
        <v>1572</v>
      </c>
      <c r="G208" s="403" t="s">
        <v>1363</v>
      </c>
    </row>
    <row r="209" spans="1:7" ht="26.1" customHeight="1">
      <c r="A209" s="401">
        <v>206</v>
      </c>
      <c r="B209" s="929" t="s">
        <v>622</v>
      </c>
      <c r="C209" s="929" t="s">
        <v>1000</v>
      </c>
      <c r="D209" s="899" t="str">
        <f t="shared" si="3"/>
        <v>Chauffage au bois</v>
      </c>
      <c r="E209" s="402" t="s">
        <v>318</v>
      </c>
      <c r="F209" s="2338" t="s">
        <v>1573</v>
      </c>
      <c r="G209" s="403" t="s">
        <v>1398</v>
      </c>
    </row>
    <row r="210" spans="1:7" ht="26.1" customHeight="1">
      <c r="A210" s="401">
        <v>207</v>
      </c>
      <c r="B210" s="929" t="s">
        <v>622</v>
      </c>
      <c r="C210" s="929" t="s">
        <v>1001</v>
      </c>
      <c r="D210" s="899" t="str">
        <f t="shared" si="3"/>
        <v>Chauffage au pellets</v>
      </c>
      <c r="E210" s="402" t="s">
        <v>22</v>
      </c>
      <c r="F210" s="2338" t="s">
        <v>1574</v>
      </c>
      <c r="G210" s="403" t="s">
        <v>1399</v>
      </c>
    </row>
    <row r="211" spans="1:7" ht="26.1" customHeight="1">
      <c r="A211" s="401">
        <v>208</v>
      </c>
      <c r="B211" s="929" t="s">
        <v>622</v>
      </c>
      <c r="C211" s="929" t="s">
        <v>1002</v>
      </c>
      <c r="D211" s="899" t="str">
        <f t="shared" si="3"/>
        <v>Chaleur à distance (min. 50% énergies ren.)</v>
      </c>
      <c r="E211" s="402" t="s">
        <v>1224</v>
      </c>
      <c r="F211" s="2338" t="s">
        <v>1609</v>
      </c>
      <c r="G211" s="403" t="s">
        <v>1484</v>
      </c>
    </row>
    <row r="212" spans="1:7" ht="26.1" customHeight="1">
      <c r="A212" s="401">
        <v>209</v>
      </c>
      <c r="B212" s="929" t="s">
        <v>622</v>
      </c>
      <c r="C212" s="929" t="s">
        <v>1003</v>
      </c>
      <c r="D212" s="899" t="str">
        <f t="shared" si="3"/>
        <v>Chauffage central électrique</v>
      </c>
      <c r="E212" s="402" t="s">
        <v>186</v>
      </c>
      <c r="F212" s="2338" t="s">
        <v>1576</v>
      </c>
      <c r="G212" s="403" t="s">
        <v>1366</v>
      </c>
    </row>
    <row r="213" spans="1:7" ht="26.1" customHeight="1">
      <c r="A213" s="401">
        <v>210</v>
      </c>
      <c r="B213" s="929" t="s">
        <v>622</v>
      </c>
      <c r="C213" s="929" t="s">
        <v>1004</v>
      </c>
      <c r="D213" s="899" t="str">
        <f t="shared" si="3"/>
        <v>Chauffage électrique direct</v>
      </c>
      <c r="E213" s="402" t="s">
        <v>45</v>
      </c>
      <c r="F213" s="2338" t="s">
        <v>1577</v>
      </c>
      <c r="G213" s="403" t="s">
        <v>1367</v>
      </c>
    </row>
    <row r="214" spans="1:7" ht="26.1" customHeight="1">
      <c r="A214" s="401">
        <v>211</v>
      </c>
      <c r="B214" s="929" t="s">
        <v>622</v>
      </c>
      <c r="C214" s="929" t="s">
        <v>1005</v>
      </c>
      <c r="D214" s="899" t="str">
        <f t="shared" si="3"/>
        <v>Chauffe-eau électrique</v>
      </c>
      <c r="E214" s="402" t="s">
        <v>145</v>
      </c>
      <c r="F214" s="2338" t="s">
        <v>1578</v>
      </c>
      <c r="G214" s="403" t="s">
        <v>1368</v>
      </c>
    </row>
    <row r="215" spans="1:7" ht="26.1" customHeight="1">
      <c r="A215" s="401">
        <v>212</v>
      </c>
      <c r="B215" s="929" t="s">
        <v>622</v>
      </c>
      <c r="C215" s="929" t="s">
        <v>1006</v>
      </c>
      <c r="D215" s="899" t="str">
        <f t="shared" si="3"/>
        <v>CCF (fossile) - part thermique et électrique</v>
      </c>
      <c r="E215" s="402" t="s">
        <v>383</v>
      </c>
      <c r="F215" s="2338" t="s">
        <v>1579</v>
      </c>
      <c r="G215" s="403" t="s">
        <v>1400</v>
      </c>
    </row>
    <row r="216" spans="1:7" ht="26.1" customHeight="1">
      <c r="A216" s="401">
        <v>213</v>
      </c>
      <c r="B216" s="929" t="s">
        <v>622</v>
      </c>
      <c r="C216" s="929" t="s">
        <v>1007</v>
      </c>
      <c r="D216" s="899" t="str">
        <f t="shared" si="3"/>
        <v>CCF (bois) - part thermique et électrique</v>
      </c>
      <c r="E216" s="402" t="s">
        <v>459</v>
      </c>
      <c r="F216" s="2338" t="s">
        <v>1580</v>
      </c>
      <c r="G216" s="403" t="s">
        <v>1401</v>
      </c>
    </row>
    <row r="217" spans="1:7" ht="26.1" customHeight="1">
      <c r="A217" s="401">
        <v>214</v>
      </c>
      <c r="B217" s="929" t="s">
        <v>622</v>
      </c>
      <c r="C217" s="929" t="s">
        <v>1008</v>
      </c>
      <c r="D217" s="899" t="str">
        <f t="shared" si="3"/>
        <v>Pompe à chaleur air-air, chauffage</v>
      </c>
      <c r="E217" s="402" t="s">
        <v>475</v>
      </c>
      <c r="F217" s="2338" t="s">
        <v>1610</v>
      </c>
      <c r="G217" s="403" t="s">
        <v>1402</v>
      </c>
    </row>
    <row r="218" spans="1:7" ht="26.1" customHeight="1">
      <c r="A218" s="401">
        <v>215</v>
      </c>
      <c r="B218" s="929" t="s">
        <v>622</v>
      </c>
      <c r="C218" s="929" t="s">
        <v>1009</v>
      </c>
      <c r="D218" s="899" t="str">
        <f t="shared" si="3"/>
        <v>Pompe à chaleur air-air, eau chaude</v>
      </c>
      <c r="E218" s="402" t="s">
        <v>476</v>
      </c>
      <c r="F218" s="2338" t="s">
        <v>1611</v>
      </c>
      <c r="G218" s="403" t="s">
        <v>1403</v>
      </c>
    </row>
    <row r="219" spans="1:7" ht="26.1" customHeight="1">
      <c r="A219" s="401">
        <v>216</v>
      </c>
      <c r="B219" s="929" t="s">
        <v>622</v>
      </c>
      <c r="C219" s="929" t="s">
        <v>1010</v>
      </c>
      <c r="D219" s="899" t="str">
        <f t="shared" si="3"/>
        <v>Pompe à chaleur géothermique, chauffage</v>
      </c>
      <c r="E219" s="402" t="s">
        <v>148</v>
      </c>
      <c r="F219" s="2338" t="s">
        <v>1612</v>
      </c>
      <c r="G219" s="403" t="s">
        <v>1404</v>
      </c>
    </row>
    <row r="220" spans="1:7" ht="26.1" customHeight="1">
      <c r="A220" s="401">
        <v>217</v>
      </c>
      <c r="B220" s="929" t="s">
        <v>622</v>
      </c>
      <c r="C220" s="929" t="s">
        <v>1011</v>
      </c>
      <c r="D220" s="899" t="str">
        <f t="shared" si="3"/>
        <v>Pompe à chaleur géothermique, eau chaude</v>
      </c>
      <c r="E220" s="402" t="s">
        <v>149</v>
      </c>
      <c r="F220" s="2338" t="s">
        <v>1613</v>
      </c>
      <c r="G220" s="403" t="s">
        <v>1405</v>
      </c>
    </row>
    <row r="221" spans="1:7" ht="26.1" customHeight="1">
      <c r="A221" s="401">
        <v>218</v>
      </c>
      <c r="B221" s="929" t="s">
        <v>622</v>
      </c>
      <c r="C221" s="929" t="s">
        <v>1012</v>
      </c>
      <c r="D221" s="899" t="str">
        <f t="shared" si="3"/>
        <v>Pompe à chaleur eau usée (directe), chauffage</v>
      </c>
      <c r="E221" s="402" t="s">
        <v>150</v>
      </c>
      <c r="F221" s="2338" t="s">
        <v>1614</v>
      </c>
      <c r="G221" s="403" t="s">
        <v>1406</v>
      </c>
    </row>
    <row r="222" spans="1:7" ht="26.1" customHeight="1">
      <c r="A222" s="401">
        <v>219</v>
      </c>
      <c r="B222" s="929" t="s">
        <v>622</v>
      </c>
      <c r="C222" s="929" t="s">
        <v>1013</v>
      </c>
      <c r="D222" s="899" t="str">
        <f t="shared" si="3"/>
        <v>Pompe à chaleur eau usée directe, eau chaude</v>
      </c>
      <c r="E222" s="402" t="s">
        <v>151</v>
      </c>
      <c r="F222" s="2338" t="s">
        <v>1615</v>
      </c>
      <c r="G222" s="403" t="s">
        <v>1407</v>
      </c>
    </row>
    <row r="223" spans="1:7" ht="26.1" customHeight="1">
      <c r="A223" s="401">
        <v>220</v>
      </c>
      <c r="B223" s="929" t="s">
        <v>622</v>
      </c>
      <c r="C223" s="929" t="s">
        <v>1014</v>
      </c>
      <c r="D223" s="899" t="str">
        <f t="shared" si="3"/>
        <v>Pompe à chaleur eau-eau, chauffage</v>
      </c>
      <c r="E223" s="402" t="s">
        <v>146</v>
      </c>
      <c r="F223" s="2338" t="s">
        <v>1616</v>
      </c>
      <c r="G223" s="403" t="s">
        <v>1408</v>
      </c>
    </row>
    <row r="224" spans="1:7" ht="26.1" customHeight="1">
      <c r="A224" s="401">
        <v>221</v>
      </c>
      <c r="B224" s="929" t="s">
        <v>622</v>
      </c>
      <c r="C224" s="929" t="s">
        <v>1015</v>
      </c>
      <c r="D224" s="899" t="str">
        <f t="shared" si="3"/>
        <v>Pompe à chaleur eau-eau, eau chaude</v>
      </c>
      <c r="E224" s="402" t="s">
        <v>152</v>
      </c>
      <c r="F224" s="2338" t="s">
        <v>1617</v>
      </c>
      <c r="G224" s="403" t="s">
        <v>1409</v>
      </c>
    </row>
    <row r="225" spans="1:7" ht="26.1" customHeight="1">
      <c r="A225" s="401">
        <v>222</v>
      </c>
      <c r="B225" s="929" t="s">
        <v>622</v>
      </c>
      <c r="C225" s="929" t="s">
        <v>1016</v>
      </c>
      <c r="D225" s="899" t="str">
        <f t="shared" si="3"/>
        <v>Pompe à chaleur eau souterraine, directe, chauffage</v>
      </c>
      <c r="E225" s="402" t="s">
        <v>520</v>
      </c>
      <c r="F225" s="2338" t="s">
        <v>1618</v>
      </c>
      <c r="G225" s="403" t="s">
        <v>1410</v>
      </c>
    </row>
    <row r="226" spans="1:7" ht="26.1" customHeight="1">
      <c r="A226" s="401">
        <v>223</v>
      </c>
      <c r="B226" s="929" t="s">
        <v>622</v>
      </c>
      <c r="C226" s="929" t="s">
        <v>1017</v>
      </c>
      <c r="D226" s="899" t="str">
        <f t="shared" si="3"/>
        <v>Pompe à chaleur eau souterraine, directe, eau chaude</v>
      </c>
      <c r="E226" s="402" t="s">
        <v>521</v>
      </c>
      <c r="F226" s="2338" t="s">
        <v>1619</v>
      </c>
      <c r="G226" s="403" t="s">
        <v>1411</v>
      </c>
    </row>
    <row r="227" spans="1:7" ht="26.1" customHeight="1">
      <c r="A227" s="401">
        <v>224</v>
      </c>
      <c r="B227" s="929" t="s">
        <v>622</v>
      </c>
      <c r="C227" s="929" t="s">
        <v>1018</v>
      </c>
      <c r="D227" s="899" t="str">
        <f t="shared" si="3"/>
        <v>Pompe à chaleur eau souterraine, indirecte, chauffage</v>
      </c>
      <c r="E227" s="402" t="s">
        <v>261</v>
      </c>
      <c r="F227" s="2338" t="s">
        <v>1620</v>
      </c>
      <c r="G227" s="403" t="s">
        <v>1412</v>
      </c>
    </row>
    <row r="228" spans="1:7" ht="26.1" customHeight="1">
      <c r="A228" s="401">
        <v>225</v>
      </c>
      <c r="B228" s="929" t="s">
        <v>622</v>
      </c>
      <c r="C228" s="929" t="s">
        <v>1019</v>
      </c>
      <c r="D228" s="899" t="str">
        <f t="shared" si="3"/>
        <v>Pompe à chaleur eau souterraine, indirecte, eau chaude</v>
      </c>
      <c r="E228" s="402" t="s">
        <v>437</v>
      </c>
      <c r="F228" s="2338" t="s">
        <v>1621</v>
      </c>
      <c r="G228" s="403" t="s">
        <v>1413</v>
      </c>
    </row>
    <row r="229" spans="1:7" ht="26.1" customHeight="1">
      <c r="A229" s="401">
        <v>226</v>
      </c>
      <c r="B229" s="929" t="s">
        <v>622</v>
      </c>
      <c r="C229" s="929" t="s">
        <v>1020</v>
      </c>
      <c r="D229" s="899" t="str">
        <f t="shared" si="3"/>
        <v>Pompe à chaleur registre terrestre, chauffage</v>
      </c>
      <c r="E229" s="402" t="s">
        <v>259</v>
      </c>
      <c r="F229" s="2338" t="s">
        <v>1622</v>
      </c>
      <c r="G229" s="403" t="s">
        <v>1414</v>
      </c>
    </row>
    <row r="230" spans="1:7" ht="25.9" customHeight="1">
      <c r="A230" s="401">
        <v>227</v>
      </c>
      <c r="B230" s="929" t="s">
        <v>622</v>
      </c>
      <c r="C230" s="929" t="s">
        <v>1021</v>
      </c>
      <c r="D230" s="899" t="str">
        <f t="shared" si="3"/>
        <v>Pompe à chaleur registre terrestre, eau chaude</v>
      </c>
      <c r="E230" s="402" t="s">
        <v>260</v>
      </c>
      <c r="F230" s="2338" t="s">
        <v>1623</v>
      </c>
      <c r="G230" s="403" t="s">
        <v>1415</v>
      </c>
    </row>
    <row r="231" spans="1:7" ht="25.9" customHeight="1">
      <c r="A231" s="401">
        <v>228</v>
      </c>
      <c r="B231" s="929" t="s">
        <v>622</v>
      </c>
      <c r="C231" s="929" t="s">
        <v>1022</v>
      </c>
      <c r="D231" s="899" t="str">
        <f t="shared" si="3"/>
        <v>Capteurs solaires thermiques, chauffage</v>
      </c>
      <c r="E231" s="402" t="s">
        <v>322</v>
      </c>
      <c r="F231" s="2338" t="s">
        <v>1624</v>
      </c>
      <c r="G231" s="403" t="s">
        <v>1416</v>
      </c>
    </row>
    <row r="232" spans="1:7" ht="25.9" customHeight="1">
      <c r="A232" s="401">
        <v>229</v>
      </c>
      <c r="B232" s="929" t="s">
        <v>622</v>
      </c>
      <c r="C232" s="929" t="s">
        <v>1023</v>
      </c>
      <c r="D232" s="899" t="str">
        <f t="shared" si="3"/>
        <v>Capteurs solaires thermiques, eau chaude</v>
      </c>
      <c r="E232" s="402" t="s">
        <v>522</v>
      </c>
      <c r="F232" s="2338" t="s">
        <v>1625</v>
      </c>
      <c r="G232" s="403" t="s">
        <v>1417</v>
      </c>
    </row>
    <row r="233" spans="1:7" ht="25.9" customHeight="1">
      <c r="A233" s="401">
        <v>230</v>
      </c>
      <c r="B233" s="929" t="s">
        <v>622</v>
      </c>
      <c r="C233" s="929" t="s">
        <v>1024</v>
      </c>
      <c r="D233" s="899" t="str">
        <f t="shared" si="3"/>
        <v>Capteurs solaires thermiques, chauffage et eau chaude</v>
      </c>
      <c r="E233" s="402" t="s">
        <v>523</v>
      </c>
      <c r="F233" s="2338" t="s">
        <v>1595</v>
      </c>
      <c r="G233" s="403" t="s">
        <v>1418</v>
      </c>
    </row>
    <row r="234" spans="1:7" ht="25.9" customHeight="1">
      <c r="A234" s="401">
        <v>231</v>
      </c>
      <c r="B234" s="929" t="s">
        <v>622</v>
      </c>
      <c r="C234" s="929" t="s">
        <v>1025</v>
      </c>
      <c r="D234" s="899" t="str">
        <f t="shared" si="3"/>
        <v>Installation photovoltaïque</v>
      </c>
      <c r="E234" s="402" t="s">
        <v>319</v>
      </c>
      <c r="F234" s="2338" t="s">
        <v>1596</v>
      </c>
      <c r="G234" s="403" t="s">
        <v>1384</v>
      </c>
    </row>
    <row r="235" spans="1:7" ht="25.9" customHeight="1">
      <c r="A235" s="401">
        <v>232</v>
      </c>
      <c r="B235" s="929" t="s">
        <v>622</v>
      </c>
      <c r="C235" s="929" t="s">
        <v>1026</v>
      </c>
      <c r="D235" s="899" t="str">
        <f t="shared" si="3"/>
        <v>Autre</v>
      </c>
      <c r="E235" s="402" t="s">
        <v>320</v>
      </c>
      <c r="F235" s="2338" t="s">
        <v>1597</v>
      </c>
      <c r="G235" s="403" t="s">
        <v>1385</v>
      </c>
    </row>
    <row r="236" spans="1:7" ht="25.9" customHeight="1">
      <c r="A236" s="401">
        <v>233</v>
      </c>
      <c r="B236" s="929" t="s">
        <v>622</v>
      </c>
      <c r="C236" s="929" t="s">
        <v>1027</v>
      </c>
      <c r="D236" s="899" t="str">
        <f t="shared" si="3"/>
        <v>Report</v>
      </c>
      <c r="E236" s="402" t="s">
        <v>685</v>
      </c>
      <c r="F236" s="2338" t="s">
        <v>1598</v>
      </c>
      <c r="G236" s="403" t="s">
        <v>1386</v>
      </c>
    </row>
    <row r="237" spans="1:7" ht="25.9" customHeight="1">
      <c r="A237" s="401">
        <v>234</v>
      </c>
      <c r="B237" s="929" t="s">
        <v>622</v>
      </c>
      <c r="C237" s="929" t="s">
        <v>1028</v>
      </c>
      <c r="D237" s="899" t="str">
        <f t="shared" si="3"/>
        <v>PAC air fourni/repris avec récup. de chaleur</v>
      </c>
      <c r="E237" s="402" t="s">
        <v>374</v>
      </c>
      <c r="F237" s="2338" t="s">
        <v>585</v>
      </c>
      <c r="G237" s="403" t="s">
        <v>1387</v>
      </c>
    </row>
    <row r="238" spans="1:7" ht="25.9" customHeight="1">
      <c r="A238" s="401">
        <v>235</v>
      </c>
      <c r="B238" s="929" t="s">
        <v>622</v>
      </c>
      <c r="C238" s="929" t="s">
        <v>1029</v>
      </c>
      <c r="D238" s="899" t="str">
        <f t="shared" si="3"/>
        <v>PAC air fourni/repris sans récup. de chaleur</v>
      </c>
      <c r="E238" s="402" t="s">
        <v>375</v>
      </c>
      <c r="F238" s="2338" t="s">
        <v>586</v>
      </c>
      <c r="G238" s="403" t="s">
        <v>1388</v>
      </c>
    </row>
    <row r="239" spans="1:7" ht="25.9" customHeight="1">
      <c r="A239" s="401">
        <v>236</v>
      </c>
      <c r="B239" s="929" t="s">
        <v>622</v>
      </c>
      <c r="C239" s="929" t="s">
        <v>1030</v>
      </c>
      <c r="D239" s="899" t="str">
        <f t="shared" si="3"/>
        <v>PAC air repris sans air fourni</v>
      </c>
      <c r="E239" s="402" t="s">
        <v>39</v>
      </c>
      <c r="F239" s="2338" t="s">
        <v>587</v>
      </c>
      <c r="G239" s="403" t="s">
        <v>1419</v>
      </c>
    </row>
    <row r="240" spans="1:7" ht="25.9" customHeight="1">
      <c r="A240" s="401">
        <v>237</v>
      </c>
      <c r="B240" s="929" t="s">
        <v>622</v>
      </c>
      <c r="C240" s="929" t="s">
        <v>1031</v>
      </c>
      <c r="D240" s="899" t="str">
        <f t="shared" si="3"/>
        <v>PAC compacte avec récup. de chaleur</v>
      </c>
      <c r="E240" s="402" t="s">
        <v>376</v>
      </c>
      <c r="F240" s="2338" t="s">
        <v>588</v>
      </c>
      <c r="G240" s="403" t="s">
        <v>1420</v>
      </c>
    </row>
    <row r="241" spans="1:7" ht="25.9" customHeight="1">
      <c r="A241" s="401">
        <v>238</v>
      </c>
      <c r="B241" s="929" t="s">
        <v>622</v>
      </c>
      <c r="C241" s="929" t="s">
        <v>1032</v>
      </c>
      <c r="D241" s="899" t="str">
        <f t="shared" si="3"/>
        <v>PAC compacte sans récup. de chaleur, chauffage</v>
      </c>
      <c r="E241" s="402" t="s">
        <v>377</v>
      </c>
      <c r="F241" s="2338" t="s">
        <v>589</v>
      </c>
      <c r="G241" s="403" t="s">
        <v>1421</v>
      </c>
    </row>
    <row r="242" spans="1:7" ht="25.9" customHeight="1">
      <c r="A242" s="401">
        <v>239</v>
      </c>
      <c r="B242" s="929" t="s">
        <v>622</v>
      </c>
      <c r="C242" s="929" t="s">
        <v>1033</v>
      </c>
      <c r="D242" s="899" t="str">
        <f t="shared" si="3"/>
        <v>PAC compacte sans récup. de chaleur, eau chaude</v>
      </c>
      <c r="E242" s="402" t="s">
        <v>357</v>
      </c>
      <c r="F242" s="2338" t="s">
        <v>1626</v>
      </c>
      <c r="G242" s="403" t="s">
        <v>1422</v>
      </c>
    </row>
    <row r="243" spans="1:7" ht="26.1" customHeight="1">
      <c r="A243" s="401">
        <v>240</v>
      </c>
      <c r="B243" s="929" t="s">
        <v>622</v>
      </c>
      <c r="C243" s="929" t="s">
        <v>1034</v>
      </c>
      <c r="D243" s="899" t="str">
        <f t="shared" si="3"/>
        <v>Biomasse, connectée</v>
      </c>
      <c r="E243" s="402" t="s">
        <v>497</v>
      </c>
      <c r="F243" s="2338" t="s">
        <v>157</v>
      </c>
      <c r="G243" s="403" t="s">
        <v>1423</v>
      </c>
    </row>
    <row r="244" spans="1:7" ht="25.9" customHeight="1">
      <c r="A244" s="401">
        <v>241</v>
      </c>
      <c r="B244" s="929" t="s">
        <v>622</v>
      </c>
      <c r="C244" s="929" t="s">
        <v>1035</v>
      </c>
      <c r="D244" s="899" t="str">
        <f t="shared" si="3"/>
        <v>Chaleur à distance (&lt;=25% renouvelable)</v>
      </c>
      <c r="E244" s="402" t="s">
        <v>1218</v>
      </c>
      <c r="F244" s="2338" t="s">
        <v>1627</v>
      </c>
      <c r="G244" s="403" t="s">
        <v>1485</v>
      </c>
    </row>
    <row r="245" spans="1:7" ht="25.9" customHeight="1">
      <c r="A245" s="401">
        <v>242</v>
      </c>
      <c r="B245" s="929" t="s">
        <v>622</v>
      </c>
      <c r="C245" s="929" t="s">
        <v>1036</v>
      </c>
      <c r="D245" s="899" t="str">
        <f t="shared" si="3"/>
        <v>Chaleur à distance (&gt;25% renouvelable)</v>
      </c>
      <c r="E245" s="402" t="s">
        <v>1220</v>
      </c>
      <c r="F245" s="2338" t="s">
        <v>1628</v>
      </c>
      <c r="G245" s="403" t="s">
        <v>1486</v>
      </c>
    </row>
    <row r="246" spans="1:7" ht="25.9" customHeight="1">
      <c r="A246" s="401">
        <v>243</v>
      </c>
      <c r="B246" s="929" t="s">
        <v>622</v>
      </c>
      <c r="C246" s="929" t="s">
        <v>1037</v>
      </c>
      <c r="D246" s="899" t="str">
        <f t="shared" si="3"/>
        <v>Chaleur à distance (&gt;75% renouvelable)</v>
      </c>
      <c r="E246" s="402" t="s">
        <v>1219</v>
      </c>
      <c r="F246" s="2338" t="s">
        <v>1629</v>
      </c>
      <c r="G246" s="403" t="s">
        <v>1487</v>
      </c>
    </row>
    <row r="247" spans="1:7" ht="25.9" customHeight="1">
      <c r="A247" s="401">
        <v>244</v>
      </c>
      <c r="B247" s="929" t="s">
        <v>622</v>
      </c>
      <c r="C247" s="929" t="s">
        <v>1228</v>
      </c>
      <c r="D247" s="899" t="str">
        <f t="shared" si="3"/>
        <v>L'électricité pour les PAC doit être pondérée double</v>
      </c>
      <c r="E247" s="402" t="s">
        <v>1229</v>
      </c>
      <c r="F247" s="2338" t="s">
        <v>1681</v>
      </c>
      <c r="G247" s="403" t="s">
        <v>1488</v>
      </c>
    </row>
    <row r="248" spans="1:7" ht="25.9" customHeight="1">
      <c r="A248" s="401">
        <v>245</v>
      </c>
      <c r="B248" s="929" t="s">
        <v>313</v>
      </c>
      <c r="C248" s="929" t="s">
        <v>3934</v>
      </c>
      <c r="D248" s="899" t="str">
        <f t="shared" si="3"/>
        <v>Pondération</v>
      </c>
      <c r="E248" s="402" t="s">
        <v>236</v>
      </c>
      <c r="F248" s="2338" t="s">
        <v>1659</v>
      </c>
      <c r="G248" s="403" t="s">
        <v>3457</v>
      </c>
    </row>
    <row r="249" spans="1:7" ht="25.9" customHeight="1">
      <c r="A249" s="401">
        <v>246</v>
      </c>
      <c r="B249" s="929" t="s">
        <v>622</v>
      </c>
      <c r="C249" s="929" t="s">
        <v>1039</v>
      </c>
      <c r="D249" s="899" t="str">
        <f t="shared" si="3"/>
        <v>Rendement électrique (joindre calcul)</v>
      </c>
      <c r="E249" s="402" t="s">
        <v>750</v>
      </c>
      <c r="F249" s="2338" t="s">
        <v>1630</v>
      </c>
      <c r="G249" s="403" t="s">
        <v>1424</v>
      </c>
    </row>
    <row r="250" spans="1:7" ht="25.9" customHeight="1">
      <c r="A250" s="401">
        <v>247</v>
      </c>
      <c r="B250" s="929" t="s">
        <v>622</v>
      </c>
      <c r="C250" s="929" t="s">
        <v>1040</v>
      </c>
      <c r="D250" s="899" t="str">
        <f t="shared" si="3"/>
        <v>Surface d'absorbeur [m2]</v>
      </c>
      <c r="E250" s="402" t="s">
        <v>751</v>
      </c>
      <c r="F250" s="2338" t="s">
        <v>1631</v>
      </c>
      <c r="G250" s="403" t="s">
        <v>1425</v>
      </c>
    </row>
    <row r="251" spans="1:7" ht="25.9" customHeight="1">
      <c r="A251" s="401">
        <v>248</v>
      </c>
      <c r="B251" s="929" t="s">
        <v>622</v>
      </c>
      <c r="C251" s="929" t="s">
        <v>1041</v>
      </c>
      <c r="D251" s="899" t="str">
        <f t="shared" si="3"/>
        <v>Puissance nominale [kWp]</v>
      </c>
      <c r="E251" s="402" t="s">
        <v>753</v>
      </c>
      <c r="F251" s="2338" t="s">
        <v>1632</v>
      </c>
      <c r="G251" s="403" t="s">
        <v>1426</v>
      </c>
    </row>
    <row r="252" spans="1:7" ht="25.9" customHeight="1">
      <c r="A252" s="401">
        <v>249</v>
      </c>
      <c r="B252" s="929" t="s">
        <v>622</v>
      </c>
      <c r="C252" s="929" t="s">
        <v>1042</v>
      </c>
      <c r="D252" s="899" t="str">
        <f t="shared" si="3"/>
        <v>Apport net par m2 d'absorbeur [kWh/m2]</v>
      </c>
      <c r="E252" s="402" t="s">
        <v>752</v>
      </c>
      <c r="F252" s="2338" t="s">
        <v>1633</v>
      </c>
      <c r="G252" s="403" t="s">
        <v>1427</v>
      </c>
    </row>
    <row r="253" spans="1:7" ht="25.9" customHeight="1">
      <c r="A253" s="401">
        <v>250</v>
      </c>
      <c r="B253" s="929" t="s">
        <v>622</v>
      </c>
      <c r="C253" s="929" t="s">
        <v>1043</v>
      </c>
      <c r="D253" s="899" t="str">
        <f t="shared" si="3"/>
        <v>Apport net annuel [kWh/kWp] (joindre clacul)</v>
      </c>
      <c r="E253" s="402" t="s">
        <v>1148</v>
      </c>
      <c r="F253" s="2338" t="s">
        <v>1634</v>
      </c>
      <c r="G253" s="403" t="s">
        <v>1428</v>
      </c>
    </row>
    <row r="254" spans="1:7" ht="25.9" customHeight="1">
      <c r="A254" s="401">
        <v>251</v>
      </c>
      <c r="B254" s="929" t="s">
        <v>622</v>
      </c>
      <c r="C254" s="929" t="s">
        <v>931</v>
      </c>
      <c r="D254" s="899" t="str">
        <f t="shared" si="3"/>
        <v>Moteur AC</v>
      </c>
      <c r="E254" s="402" t="s">
        <v>643</v>
      </c>
      <c r="F254" s="2338" t="s">
        <v>1553</v>
      </c>
      <c r="G254" s="403" t="s">
        <v>1310</v>
      </c>
    </row>
    <row r="255" spans="1:7" ht="25.9" customHeight="1">
      <c r="A255" s="401">
        <v>252</v>
      </c>
      <c r="B255" s="929" t="s">
        <v>622</v>
      </c>
      <c r="C255" s="929" t="s">
        <v>932</v>
      </c>
      <c r="D255" s="899" t="str">
        <f t="shared" si="3"/>
        <v>Moteur DC/EC</v>
      </c>
      <c r="E255" s="402" t="s">
        <v>644</v>
      </c>
      <c r="F255" s="2338" t="s">
        <v>1554</v>
      </c>
      <c r="G255" s="403" t="s">
        <v>1311</v>
      </c>
    </row>
    <row r="256" spans="1:7" ht="25.9" customHeight="1">
      <c r="A256" s="401">
        <v>253</v>
      </c>
      <c r="B256" s="929" t="s">
        <v>706</v>
      </c>
      <c r="C256" s="929" t="s">
        <v>1038</v>
      </c>
      <c r="D256" s="899" t="str">
        <f t="shared" si="3"/>
        <v>Production de chaleur:</v>
      </c>
      <c r="E256" s="402" t="s">
        <v>161</v>
      </c>
      <c r="F256" s="2338" t="s">
        <v>1635</v>
      </c>
      <c r="G256" s="403" t="s">
        <v>1429</v>
      </c>
    </row>
    <row r="257" spans="1:7" ht="25.9" customHeight="1">
      <c r="A257" s="401">
        <v>254</v>
      </c>
      <c r="B257" s="929" t="s">
        <v>706</v>
      </c>
      <c r="C257" s="929" t="s">
        <v>1044</v>
      </c>
      <c r="D257" s="899" t="str">
        <f t="shared" si="3"/>
        <v>Rendement / COPa</v>
      </c>
      <c r="E257" s="402" t="s">
        <v>776</v>
      </c>
      <c r="F257" s="2338" t="s">
        <v>1636</v>
      </c>
      <c r="G257" s="403" t="s">
        <v>3067</v>
      </c>
    </row>
    <row r="258" spans="1:7" ht="25.9" customHeight="1">
      <c r="A258" s="401">
        <v>255</v>
      </c>
      <c r="B258" s="929" t="s">
        <v>706</v>
      </c>
      <c r="C258" s="929" t="s">
        <v>1045</v>
      </c>
      <c r="D258" s="899" t="str">
        <f t="shared" si="3"/>
        <v>Taux de couverture [%]</v>
      </c>
      <c r="E258" s="402" t="s">
        <v>315</v>
      </c>
      <c r="F258" s="2338" t="s">
        <v>1637</v>
      </c>
      <c r="G258" s="403" t="s">
        <v>1430</v>
      </c>
    </row>
    <row r="259" spans="1:7" ht="25.9" customHeight="1">
      <c r="A259" s="401">
        <v>256</v>
      </c>
      <c r="B259" s="929" t="s">
        <v>706</v>
      </c>
      <c r="C259" s="929" t="s">
        <v>845</v>
      </c>
      <c r="D259" s="899" t="str">
        <f t="shared" si="3"/>
        <v>Production de chaleur A</v>
      </c>
      <c r="E259" s="402" t="s">
        <v>324</v>
      </c>
      <c r="F259" s="2338" t="s">
        <v>1638</v>
      </c>
      <c r="G259" s="403" t="s">
        <v>1431</v>
      </c>
    </row>
    <row r="260" spans="1:7" ht="25.9" customHeight="1">
      <c r="A260" s="401">
        <v>257</v>
      </c>
      <c r="B260" s="929" t="s">
        <v>706</v>
      </c>
      <c r="C260" s="929" t="s">
        <v>1047</v>
      </c>
      <c r="D260" s="899" t="str">
        <f t="shared" si="3"/>
        <v>Production de chaleur B</v>
      </c>
      <c r="E260" s="402" t="s">
        <v>327</v>
      </c>
      <c r="F260" s="2338" t="s">
        <v>1639</v>
      </c>
      <c r="G260" s="403" t="s">
        <v>1432</v>
      </c>
    </row>
    <row r="261" spans="1:7" ht="25.9" customHeight="1">
      <c r="A261" s="401">
        <v>258</v>
      </c>
      <c r="B261" s="929" t="s">
        <v>706</v>
      </c>
      <c r="C261" s="929" t="s">
        <v>852</v>
      </c>
      <c r="D261" s="899" t="str">
        <f t="shared" ref="D261:D324" si="4">INDEX($E$4:$G$503,$A261,$A$1)</f>
        <v>Production de chaleur C</v>
      </c>
      <c r="E261" s="402" t="s">
        <v>326</v>
      </c>
      <c r="F261" s="2338" t="s">
        <v>1640</v>
      </c>
      <c r="G261" s="403" t="s">
        <v>1433</v>
      </c>
    </row>
    <row r="262" spans="1:7" ht="25.9" customHeight="1">
      <c r="A262" s="401">
        <v>259</v>
      </c>
      <c r="B262" s="929" t="s">
        <v>706</v>
      </c>
      <c r="C262" s="929" t="s">
        <v>488</v>
      </c>
      <c r="D262" s="899" t="str">
        <f t="shared" si="4"/>
        <v>Production de chaleur D</v>
      </c>
      <c r="E262" s="402" t="s">
        <v>325</v>
      </c>
      <c r="F262" s="2338" t="s">
        <v>1641</v>
      </c>
      <c r="G262" s="403" t="s">
        <v>1434</v>
      </c>
    </row>
    <row r="263" spans="1:7" ht="25.9" customHeight="1">
      <c r="A263" s="401">
        <v>260</v>
      </c>
      <c r="B263" s="929" t="s">
        <v>706</v>
      </c>
      <c r="C263" s="929" t="s">
        <v>846</v>
      </c>
      <c r="D263" s="899" t="str">
        <f t="shared" si="4"/>
        <v>Entrée</v>
      </c>
      <c r="E263" s="402" t="s">
        <v>739</v>
      </c>
      <c r="F263" s="2338" t="s">
        <v>1642</v>
      </c>
      <c r="G263" s="403" t="s">
        <v>1435</v>
      </c>
    </row>
    <row r="264" spans="1:7" ht="25.9" customHeight="1">
      <c r="A264" s="401">
        <v>261</v>
      </c>
      <c r="B264" s="929" t="s">
        <v>706</v>
      </c>
      <c r="C264" s="929" t="s">
        <v>1048</v>
      </c>
      <c r="D264" s="899" t="str">
        <f t="shared" si="4"/>
        <v>Valeur calculée</v>
      </c>
      <c r="E264" s="402" t="s">
        <v>740</v>
      </c>
      <c r="F264" s="2338" t="s">
        <v>1643</v>
      </c>
      <c r="G264" s="403" t="s">
        <v>1436</v>
      </c>
    </row>
    <row r="265" spans="1:7" ht="25.9" customHeight="1">
      <c r="A265" s="401">
        <v>262</v>
      </c>
      <c r="B265" s="929" t="s">
        <v>706</v>
      </c>
      <c r="C265" s="929" t="s">
        <v>1046</v>
      </c>
      <c r="D265" s="899" t="str">
        <f t="shared" si="4"/>
        <v>Chauffage</v>
      </c>
      <c r="E265" s="402" t="s">
        <v>243</v>
      </c>
      <c r="F265" s="2338" t="s">
        <v>1644</v>
      </c>
      <c r="G265" s="403" t="s">
        <v>1437</v>
      </c>
    </row>
    <row r="266" spans="1:7" ht="25.9" customHeight="1">
      <c r="A266" s="401">
        <v>263</v>
      </c>
      <c r="B266" s="929" t="s">
        <v>706</v>
      </c>
      <c r="C266" s="929" t="s">
        <v>710</v>
      </c>
      <c r="D266" s="899" t="str">
        <f t="shared" si="4"/>
        <v>Eau chaude</v>
      </c>
      <c r="E266" s="402" t="s">
        <v>244</v>
      </c>
      <c r="F266" s="2338" t="s">
        <v>1645</v>
      </c>
      <c r="G266" s="403" t="s">
        <v>1438</v>
      </c>
    </row>
    <row r="267" spans="1:7" ht="25.9" customHeight="1">
      <c r="A267" s="401">
        <v>264</v>
      </c>
      <c r="B267" s="929" t="s">
        <v>706</v>
      </c>
      <c r="C267" s="929" t="s">
        <v>550</v>
      </c>
      <c r="D267" s="899" t="str">
        <f t="shared" si="4"/>
        <v>Report autres productions de chaleur</v>
      </c>
      <c r="E267" s="402" t="s">
        <v>701</v>
      </c>
      <c r="F267" s="2338" t="s">
        <v>1646</v>
      </c>
      <c r="G267" s="403" t="s">
        <v>1439</v>
      </c>
    </row>
    <row r="268" spans="1:7" ht="25.9" customHeight="1">
      <c r="A268" s="401">
        <v>265</v>
      </c>
      <c r="B268" s="929" t="s">
        <v>706</v>
      </c>
      <c r="C268" s="929" t="s">
        <v>496</v>
      </c>
      <c r="D268" s="899" t="str">
        <f t="shared" si="4"/>
        <v>Electricité fournie (non pondérée)</v>
      </c>
      <c r="E268" s="402" t="s">
        <v>779</v>
      </c>
      <c r="F268" s="2338" t="s">
        <v>1647</v>
      </c>
      <c r="G268" s="403" t="s">
        <v>1440</v>
      </c>
    </row>
    <row r="269" spans="1:7" ht="25.9" customHeight="1">
      <c r="A269" s="401">
        <v>266</v>
      </c>
      <c r="B269" s="929" t="s">
        <v>706</v>
      </c>
      <c r="C269" s="929" t="s">
        <v>865</v>
      </c>
      <c r="D269" s="899" t="str">
        <f t="shared" si="4"/>
        <v>Energie fournie (sans électricité, pondérée)</v>
      </c>
      <c r="E269" s="402" t="s">
        <v>780</v>
      </c>
      <c r="F269" s="2338" t="s">
        <v>1648</v>
      </c>
      <c r="G269" s="403" t="s">
        <v>1441</v>
      </c>
    </row>
    <row r="270" spans="1:7" ht="25.9" customHeight="1">
      <c r="A270" s="401">
        <v>267</v>
      </c>
      <c r="B270" s="929" t="s">
        <v>706</v>
      </c>
      <c r="C270" s="929" t="s">
        <v>1049</v>
      </c>
      <c r="D270" s="899" t="str">
        <f t="shared" si="4"/>
        <v>Taux de couverture total</v>
      </c>
      <c r="E270" s="402" t="s">
        <v>745</v>
      </c>
      <c r="F270" s="2338" t="s">
        <v>1649</v>
      </c>
      <c r="G270" s="403" t="s">
        <v>1442</v>
      </c>
    </row>
    <row r="271" spans="1:7" ht="25.9" customHeight="1">
      <c r="A271" s="401">
        <v>268</v>
      </c>
      <c r="B271" s="929" t="s">
        <v>706</v>
      </c>
      <c r="C271" s="929" t="s">
        <v>867</v>
      </c>
      <c r="D271" s="899" t="str">
        <f t="shared" si="4"/>
        <v>Données du bâtiment, ventilation et valeur limite</v>
      </c>
      <c r="E271" s="402" t="s">
        <v>200</v>
      </c>
      <c r="F271" s="2338" t="s">
        <v>1650</v>
      </c>
      <c r="G271" s="403" t="s">
        <v>1443</v>
      </c>
    </row>
    <row r="272" spans="1:7" ht="25.9" customHeight="1">
      <c r="A272" s="401">
        <v>269</v>
      </c>
      <c r="B272" s="929" t="s">
        <v>706</v>
      </c>
      <c r="C272" s="929" t="s">
        <v>1050</v>
      </c>
      <c r="D272" s="899" t="str">
        <f t="shared" si="4"/>
        <v>Total /
Moyenne</v>
      </c>
      <c r="E272" s="402" t="s">
        <v>648</v>
      </c>
      <c r="F272" s="2338" t="s">
        <v>2415</v>
      </c>
      <c r="G272" s="403" t="s">
        <v>1444</v>
      </c>
    </row>
    <row r="273" spans="1:7" ht="25.9" customHeight="1">
      <c r="A273" s="401">
        <v>270</v>
      </c>
      <c r="B273" s="929" t="s">
        <v>706</v>
      </c>
      <c r="C273" s="929" t="s">
        <v>97</v>
      </c>
      <c r="D273" s="899" t="str">
        <f t="shared" si="4"/>
        <v>Besoin pour chauffage Qh,eff</v>
      </c>
      <c r="E273" s="402" t="s">
        <v>1051</v>
      </c>
      <c r="F273" s="2338" t="s">
        <v>1651</v>
      </c>
      <c r="G273" s="403" t="s">
        <v>1445</v>
      </c>
    </row>
    <row r="274" spans="1:7" ht="25.9" customHeight="1">
      <c r="A274" s="401">
        <v>271</v>
      </c>
      <c r="B274" s="929" t="s">
        <v>706</v>
      </c>
      <c r="C274" s="929" t="s">
        <v>97</v>
      </c>
      <c r="D274" s="899" t="str">
        <f t="shared" si="4"/>
        <v>Qh avec renouvelement d'air effectif</v>
      </c>
      <c r="E274" s="402" t="s">
        <v>1052</v>
      </c>
      <c r="F274" s="2338" t="s">
        <v>1652</v>
      </c>
      <c r="G274" s="403" t="s">
        <v>1446</v>
      </c>
    </row>
    <row r="275" spans="1:7" ht="25.9" customHeight="1">
      <c r="A275" s="401">
        <v>272</v>
      </c>
      <c r="B275" s="929" t="s">
        <v>706</v>
      </c>
      <c r="C275" s="929" t="s">
        <v>98</v>
      </c>
      <c r="D275" s="899" t="str">
        <f t="shared" si="4"/>
        <v>Besoin pour eau chaude Qww SIA 380/1</v>
      </c>
      <c r="E275" s="402" t="s">
        <v>2541</v>
      </c>
      <c r="F275" s="2338" t="s">
        <v>2542</v>
      </c>
      <c r="G275" s="403" t="s">
        <v>2543</v>
      </c>
    </row>
    <row r="276" spans="1:7" ht="25.9" customHeight="1">
      <c r="A276" s="401">
        <v>273</v>
      </c>
      <c r="B276" s="929" t="s">
        <v>706</v>
      </c>
      <c r="C276" s="929" t="s">
        <v>487</v>
      </c>
      <c r="D276" s="899" t="str">
        <f t="shared" si="4"/>
        <v>Besoin en électricité pour la ventilation</v>
      </c>
      <c r="E276" s="402" t="s">
        <v>495</v>
      </c>
      <c r="F276" s="2338" t="s">
        <v>1653</v>
      </c>
      <c r="G276" s="403" t="s">
        <v>1447</v>
      </c>
    </row>
    <row r="277" spans="1:7" ht="25.9" customHeight="1">
      <c r="A277" s="401">
        <v>274</v>
      </c>
      <c r="B277" s="929" t="s">
        <v>706</v>
      </c>
      <c r="C277" s="929" t="s">
        <v>873</v>
      </c>
      <c r="D277" s="899" t="str">
        <f t="shared" si="4"/>
        <v>Electricité pour les auxiliaires / le refroidissement</v>
      </c>
      <c r="E277" s="402" t="s">
        <v>1053</v>
      </c>
      <c r="F277" s="2338" t="s">
        <v>1654</v>
      </c>
      <c r="G277" s="403" t="s">
        <v>1448</v>
      </c>
    </row>
    <row r="278" spans="1:7" ht="25.9" customHeight="1">
      <c r="A278" s="401">
        <v>275</v>
      </c>
      <c r="B278" s="929" t="s">
        <v>706</v>
      </c>
      <c r="C278" s="929" t="s">
        <v>873</v>
      </c>
      <c r="D278" s="899" t="str">
        <f t="shared" si="4"/>
        <v>Besoin en électricité pour la climatisation + auxiliaires</v>
      </c>
      <c r="E278" s="402" t="s">
        <v>1180</v>
      </c>
      <c r="F278" s="2338" t="s">
        <v>1655</v>
      </c>
      <c r="G278" s="403" t="s">
        <v>1449</v>
      </c>
    </row>
    <row r="279" spans="1:7" ht="25.9" customHeight="1">
      <c r="A279" s="401">
        <v>276</v>
      </c>
      <c r="B279" s="929" t="s">
        <v>706</v>
      </c>
      <c r="C279" s="929" t="s">
        <v>878</v>
      </c>
      <c r="D279" s="899" t="str">
        <f t="shared" si="4"/>
        <v>Valeur limite déterminante</v>
      </c>
      <c r="E279" s="402" t="s">
        <v>554</v>
      </c>
      <c r="F279" s="2338" t="s">
        <v>1656</v>
      </c>
      <c r="G279" s="403" t="s">
        <v>1450</v>
      </c>
    </row>
    <row r="280" spans="1:7" ht="25.9" customHeight="1">
      <c r="A280" s="401">
        <v>277</v>
      </c>
      <c r="B280" s="929" t="s">
        <v>706</v>
      </c>
      <c r="C280" s="929" t="s">
        <v>879</v>
      </c>
      <c r="D280" s="899" t="str">
        <f t="shared" si="4"/>
        <v>Production de chaleur:</v>
      </c>
      <c r="E280" s="402" t="s">
        <v>161</v>
      </c>
      <c r="F280" s="2338" t="s">
        <v>1635</v>
      </c>
      <c r="G280" s="403" t="s">
        <v>1429</v>
      </c>
    </row>
    <row r="281" spans="1:7" ht="25.9" customHeight="1">
      <c r="A281" s="401">
        <v>278</v>
      </c>
      <c r="B281" s="929" t="s">
        <v>706</v>
      </c>
      <c r="C281" s="929" t="s">
        <v>880</v>
      </c>
      <c r="D281" s="899" t="str">
        <f t="shared" si="4"/>
        <v>(chauffage et eau chaude)</v>
      </c>
      <c r="E281" s="402" t="s">
        <v>646</v>
      </c>
      <c r="F281" s="2338" t="s">
        <v>1657</v>
      </c>
      <c r="G281" s="403" t="s">
        <v>1451</v>
      </c>
    </row>
    <row r="282" spans="1:7" ht="25.9" customHeight="1">
      <c r="A282" s="401">
        <v>279</v>
      </c>
      <c r="B282" s="929" t="s">
        <v>706</v>
      </c>
      <c r="C282" s="929" t="s">
        <v>1054</v>
      </c>
      <c r="D282" s="899" t="str">
        <f t="shared" si="4"/>
        <v>ou COPa</v>
      </c>
      <c r="E282" s="402" t="s">
        <v>692</v>
      </c>
      <c r="F282" s="2338" t="s">
        <v>1658</v>
      </c>
      <c r="G282" s="403" t="s">
        <v>1452</v>
      </c>
    </row>
    <row r="283" spans="1:7" ht="25.9" customHeight="1">
      <c r="A283" s="401">
        <v>280</v>
      </c>
      <c r="B283" s="929" t="s">
        <v>706</v>
      </c>
      <c r="C283" s="929" t="s">
        <v>1056</v>
      </c>
      <c r="D283" s="899" t="str">
        <f t="shared" si="4"/>
        <v>Pondération</v>
      </c>
      <c r="E283" s="402" t="s">
        <v>1055</v>
      </c>
      <c r="F283" s="2338" t="s">
        <v>1659</v>
      </c>
      <c r="G283" s="403" t="s">
        <v>3457</v>
      </c>
    </row>
    <row r="284" spans="1:7" ht="25.9" customHeight="1">
      <c r="A284" s="401">
        <v>281</v>
      </c>
      <c r="B284" s="929" t="s">
        <v>706</v>
      </c>
      <c r="C284" s="929" t="s">
        <v>1057</v>
      </c>
      <c r="D284" s="899" t="str">
        <f t="shared" si="4"/>
        <v>Taux de couverture</v>
      </c>
      <c r="E284" s="402" t="s">
        <v>690</v>
      </c>
      <c r="F284" s="2338" t="s">
        <v>1660</v>
      </c>
      <c r="G284" s="403" t="s">
        <v>1453</v>
      </c>
    </row>
    <row r="285" spans="1:7" ht="25.9" customHeight="1">
      <c r="A285" s="401">
        <v>282</v>
      </c>
      <c r="B285" s="929" t="s">
        <v>706</v>
      </c>
      <c r="C285" s="929" t="s">
        <v>1059</v>
      </c>
      <c r="D285" s="899" t="str">
        <f t="shared" si="4"/>
        <v>Energie finale pondérée kWh/m2</v>
      </c>
      <c r="E285" s="402" t="s">
        <v>1058</v>
      </c>
      <c r="F285" s="2338" t="s">
        <v>1661</v>
      </c>
      <c r="G285" s="403" t="s">
        <v>1454</v>
      </c>
    </row>
    <row r="286" spans="1:7" ht="25.9" customHeight="1">
      <c r="A286" s="401">
        <v>283</v>
      </c>
      <c r="B286" s="929" t="s">
        <v>706</v>
      </c>
      <c r="C286" s="929" t="s">
        <v>1060</v>
      </c>
      <c r="D286" s="899" t="str">
        <f t="shared" si="4"/>
        <v>Courant</v>
      </c>
      <c r="E286" s="402" t="s">
        <v>731</v>
      </c>
      <c r="F286" s="2338" t="s">
        <v>1662</v>
      </c>
      <c r="G286" s="403" t="s">
        <v>1455</v>
      </c>
    </row>
    <row r="287" spans="1:7" ht="25.9" customHeight="1">
      <c r="A287" s="401">
        <v>284</v>
      </c>
      <c r="B287" s="929" t="s">
        <v>706</v>
      </c>
      <c r="C287" s="929" t="s">
        <v>1061</v>
      </c>
      <c r="D287" s="899" t="str">
        <f t="shared" si="4"/>
        <v>autre</v>
      </c>
      <c r="E287" s="402" t="s">
        <v>179</v>
      </c>
      <c r="F287" s="2338" t="s">
        <v>1663</v>
      </c>
      <c r="G287" s="403" t="s">
        <v>1456</v>
      </c>
    </row>
    <row r="288" spans="1:7" ht="25.9" customHeight="1">
      <c r="A288" s="401">
        <v>285</v>
      </c>
      <c r="B288" s="929" t="s">
        <v>706</v>
      </c>
      <c r="C288" s="929" t="s">
        <v>1062</v>
      </c>
      <c r="D288" s="899" t="str">
        <f t="shared" si="4"/>
        <v>Chaleur</v>
      </c>
      <c r="E288" s="402" t="s">
        <v>729</v>
      </c>
      <c r="F288" s="2338" t="s">
        <v>1664</v>
      </c>
      <c r="G288" s="403" t="s">
        <v>1457</v>
      </c>
    </row>
    <row r="289" spans="1:7" ht="25.9" customHeight="1">
      <c r="A289" s="401">
        <v>286</v>
      </c>
      <c r="B289" s="929" t="s">
        <v>706</v>
      </c>
      <c r="C289" s="929" t="s">
        <v>938</v>
      </c>
      <c r="D289" s="899" t="str">
        <f t="shared" si="4"/>
        <v>Besoin d'électricité ventilation</v>
      </c>
      <c r="E289" s="402" t="s">
        <v>495</v>
      </c>
      <c r="F289" s="2338" t="s">
        <v>1665</v>
      </c>
      <c r="G289" s="403" t="s">
        <v>1458</v>
      </c>
    </row>
    <row r="290" spans="1:7" ht="25.9" customHeight="1">
      <c r="A290" s="401">
        <v>287</v>
      </c>
      <c r="B290" s="929" t="s">
        <v>706</v>
      </c>
      <c r="C290" s="929" t="s">
        <v>1063</v>
      </c>
      <c r="D290" s="899" t="str">
        <f t="shared" si="4"/>
        <v>Electricité climatisation + auxiliaires</v>
      </c>
      <c r="E290" s="402" t="s">
        <v>512</v>
      </c>
      <c r="F290" s="2338" t="s">
        <v>1666</v>
      </c>
      <c r="G290" s="403" t="s">
        <v>1459</v>
      </c>
    </row>
    <row r="291" spans="1:7" ht="25.9" customHeight="1">
      <c r="A291" s="401">
        <v>288</v>
      </c>
      <c r="B291" s="929" t="s">
        <v>706</v>
      </c>
      <c r="C291" s="929" t="s">
        <v>1063</v>
      </c>
      <c r="D291" s="899" t="str">
        <f t="shared" si="4"/>
        <v>Electricité climatisation + auxiliaires</v>
      </c>
      <c r="E291" s="402" t="s">
        <v>1187</v>
      </c>
      <c r="F291" s="2338" t="s">
        <v>1666</v>
      </c>
      <c r="G291" s="403" t="s">
        <v>1459</v>
      </c>
    </row>
    <row r="292" spans="1:7" ht="25.9" customHeight="1">
      <c r="A292" s="401">
        <v>289</v>
      </c>
      <c r="B292" s="929" t="s">
        <v>706</v>
      </c>
      <c r="C292" s="929" t="s">
        <v>1064</v>
      </c>
      <c r="D292" s="899" t="str">
        <f t="shared" si="4"/>
        <v>Total:</v>
      </c>
      <c r="E292" s="402" t="s">
        <v>691</v>
      </c>
      <c r="F292" s="2338" t="s">
        <v>691</v>
      </c>
      <c r="G292" s="403" t="s">
        <v>1460</v>
      </c>
    </row>
    <row r="293" spans="1:7" ht="25.9" customHeight="1">
      <c r="A293" s="401">
        <v>290</v>
      </c>
      <c r="B293" s="929" t="s">
        <v>706</v>
      </c>
      <c r="C293" s="929" t="s">
        <v>940</v>
      </c>
      <c r="D293" s="899" t="str">
        <f t="shared" si="4"/>
        <v>Respect des exigences:</v>
      </c>
      <c r="E293" s="402" t="s">
        <v>14</v>
      </c>
      <c r="F293" s="2338" t="s">
        <v>1667</v>
      </c>
      <c r="G293" s="403" t="s">
        <v>1461</v>
      </c>
    </row>
    <row r="294" spans="1:7" ht="25.9" customHeight="1">
      <c r="A294" s="401">
        <v>291</v>
      </c>
      <c r="B294" s="929" t="s">
        <v>706</v>
      </c>
      <c r="C294" s="929" t="s">
        <v>590</v>
      </c>
      <c r="D294" s="899" t="str">
        <f t="shared" si="4"/>
        <v>Exigences</v>
      </c>
      <c r="E294" s="402" t="s">
        <v>494</v>
      </c>
      <c r="F294" s="2338" t="s">
        <v>1668</v>
      </c>
      <c r="G294" s="403" t="s">
        <v>1462</v>
      </c>
    </row>
    <row r="295" spans="1:7" ht="25.9" customHeight="1">
      <c r="A295" s="401">
        <v>292</v>
      </c>
      <c r="B295" s="929" t="s">
        <v>706</v>
      </c>
      <c r="C295" s="929" t="s">
        <v>1065</v>
      </c>
      <c r="D295" s="899" t="str">
        <f t="shared" si="4"/>
        <v>Valeur calculée</v>
      </c>
      <c r="E295" s="402" t="s">
        <v>34</v>
      </c>
      <c r="F295" s="2338" t="s">
        <v>1643</v>
      </c>
      <c r="G295" s="403" t="s">
        <v>1463</v>
      </c>
    </row>
    <row r="296" spans="1:7" ht="25.9" customHeight="1">
      <c r="A296" s="401">
        <v>293</v>
      </c>
      <c r="B296" s="929" t="s">
        <v>706</v>
      </c>
      <c r="C296" s="929" t="s">
        <v>941</v>
      </c>
      <c r="D296" s="899" t="str">
        <f t="shared" si="4"/>
        <v>Minergie - Indice chaleur</v>
      </c>
      <c r="E296" s="402" t="s">
        <v>1066</v>
      </c>
      <c r="F296" s="2338" t="s">
        <v>1669</v>
      </c>
      <c r="G296" s="403" t="s">
        <v>1464</v>
      </c>
    </row>
    <row r="297" spans="1:7" ht="25.9" customHeight="1">
      <c r="A297" s="401">
        <v>294</v>
      </c>
      <c r="B297" s="929" t="s">
        <v>706</v>
      </c>
      <c r="C297" s="929" t="s">
        <v>941</v>
      </c>
      <c r="D297" s="899" t="str">
        <f t="shared" si="4"/>
        <v>Valeur limite MINERGIE-P</v>
      </c>
      <c r="E297" s="402" t="s">
        <v>1067</v>
      </c>
      <c r="F297" s="2338" t="s">
        <v>1670</v>
      </c>
      <c r="G297" s="403" t="s">
        <v>1465</v>
      </c>
    </row>
    <row r="298" spans="1:7" ht="25.9" customHeight="1">
      <c r="A298" s="401">
        <v>295</v>
      </c>
      <c r="B298" s="929" t="s">
        <v>706</v>
      </c>
      <c r="C298" s="929" t="s">
        <v>941</v>
      </c>
      <c r="D298" s="899" t="str">
        <f t="shared" si="4"/>
        <v>Valeur limite</v>
      </c>
      <c r="E298" s="402" t="s">
        <v>657</v>
      </c>
      <c r="F298" s="2338" t="s">
        <v>1671</v>
      </c>
      <c r="G298" s="403" t="s">
        <v>1466</v>
      </c>
    </row>
    <row r="299" spans="1:7" ht="25.9" customHeight="1">
      <c r="A299" s="401">
        <v>296</v>
      </c>
      <c r="B299" s="929" t="s">
        <v>706</v>
      </c>
      <c r="C299" s="929" t="s">
        <v>1068</v>
      </c>
      <c r="D299" s="899" t="str">
        <f t="shared" si="4"/>
        <v>Respectée?</v>
      </c>
      <c r="E299" s="402" t="s">
        <v>35</v>
      </c>
      <c r="F299" s="2338" t="s">
        <v>1672</v>
      </c>
      <c r="G299" s="403" t="s">
        <v>1467</v>
      </c>
    </row>
    <row r="300" spans="1:7" ht="25.9" customHeight="1">
      <c r="A300" s="401">
        <v>297</v>
      </c>
      <c r="B300" s="929" t="s">
        <v>706</v>
      </c>
      <c r="C300" s="929" t="s">
        <v>937</v>
      </c>
      <c r="D300" s="899" t="str">
        <f t="shared" si="4"/>
        <v>autre production de chaleur</v>
      </c>
      <c r="E300" s="402" t="s">
        <v>1069</v>
      </c>
      <c r="F300" s="2338" t="s">
        <v>1673</v>
      </c>
      <c r="G300" s="403" t="s">
        <v>1468</v>
      </c>
    </row>
    <row r="301" spans="1:7" ht="25.9" customHeight="1">
      <c r="A301" s="401">
        <v>298</v>
      </c>
      <c r="B301" s="929" t="s">
        <v>706</v>
      </c>
      <c r="C301" s="929" t="s">
        <v>944</v>
      </c>
      <c r="D301" s="899" t="str">
        <f t="shared" si="4"/>
        <v>Annexes (déposer toute celles de la colonne de gauche)</v>
      </c>
      <c r="E301" s="402" t="s">
        <v>757</v>
      </c>
      <c r="F301" s="2338" t="s">
        <v>1674</v>
      </c>
      <c r="G301" s="403" t="s">
        <v>1469</v>
      </c>
    </row>
    <row r="302" spans="1:7" ht="25.9" customHeight="1">
      <c r="A302" s="401">
        <v>299</v>
      </c>
      <c r="B302" s="929" t="s">
        <v>706</v>
      </c>
      <c r="C302" s="929" t="s">
        <v>1070</v>
      </c>
      <c r="D302" s="899" t="str">
        <f t="shared" si="4"/>
        <v>Marquer d'une croix ce qui convient</v>
      </c>
      <c r="E302" s="402" t="s">
        <v>758</v>
      </c>
      <c r="F302" s="2338" t="s">
        <v>1675</v>
      </c>
      <c r="G302" s="403" t="s">
        <v>1470</v>
      </c>
    </row>
    <row r="303" spans="1:7" ht="25.9" customHeight="1">
      <c r="A303" s="401">
        <v>300</v>
      </c>
      <c r="B303" s="929" t="s">
        <v>706</v>
      </c>
      <c r="C303" s="929" t="s">
        <v>1071</v>
      </c>
      <c r="D303" s="899" t="str">
        <f t="shared" si="4"/>
        <v>Schéma chauffage et ventilation</v>
      </c>
      <c r="E303" s="402" t="s">
        <v>773</v>
      </c>
      <c r="F303" s="2338" t="s">
        <v>1676</v>
      </c>
      <c r="G303" s="403" t="s">
        <v>1471</v>
      </c>
    </row>
    <row r="304" spans="1:7" ht="25.9" customHeight="1">
      <c r="A304" s="401">
        <v>301</v>
      </c>
      <c r="B304" s="929" t="s">
        <v>706</v>
      </c>
      <c r="C304" s="929" t="s">
        <v>1072</v>
      </c>
      <c r="D304" s="899" t="str">
        <f t="shared" si="4"/>
        <v>Calculs externes et fiches techniques</v>
      </c>
      <c r="E304" s="402" t="s">
        <v>774</v>
      </c>
      <c r="F304" s="2338" t="s">
        <v>1677</v>
      </c>
      <c r="G304" s="403" t="s">
        <v>1472</v>
      </c>
    </row>
    <row r="305" spans="1:7" ht="25.9" customHeight="1">
      <c r="A305" s="401">
        <v>302</v>
      </c>
      <c r="B305" s="929" t="s">
        <v>706</v>
      </c>
      <c r="C305" s="929" t="s">
        <v>1074</v>
      </c>
      <c r="D305" s="899" t="str">
        <f t="shared" si="4"/>
        <v>Besoin pas couvert</v>
      </c>
      <c r="E305" s="402" t="s">
        <v>1073</v>
      </c>
      <c r="F305" s="2338" t="s">
        <v>1678</v>
      </c>
      <c r="G305" s="403" t="s">
        <v>1473</v>
      </c>
    </row>
    <row r="306" spans="1:7" ht="25.9" customHeight="1">
      <c r="A306" s="401">
        <v>303</v>
      </c>
      <c r="B306" s="929" t="s">
        <v>706</v>
      </c>
      <c r="C306" s="929" t="s">
        <v>1074</v>
      </c>
      <c r="D306" s="899" t="str">
        <f t="shared" si="4"/>
        <v>sans piscine couverte</v>
      </c>
      <c r="E306" s="402" t="s">
        <v>1075</v>
      </c>
      <c r="F306" s="2338" t="s">
        <v>1679</v>
      </c>
      <c r="G306" s="403" t="s">
        <v>1474</v>
      </c>
    </row>
    <row r="307" spans="1:7" ht="29.25" customHeight="1">
      <c r="A307" s="401">
        <v>304</v>
      </c>
      <c r="B307" s="929" t="s">
        <v>706</v>
      </c>
      <c r="C307" s="929" t="s">
        <v>1076</v>
      </c>
      <c r="D307" s="899" t="str">
        <f t="shared" si="4"/>
        <v>Eau chaude avec min. 20% d'énergie renouvelable (pour restaurants, installations sportives, piscines couvertes) ?</v>
      </c>
      <c r="E307" s="402" t="s">
        <v>5175</v>
      </c>
      <c r="F307" s="2338" t="s">
        <v>5176</v>
      </c>
      <c r="G307" s="403" t="s">
        <v>5177</v>
      </c>
    </row>
    <row r="308" spans="1:7" ht="25.9" customHeight="1">
      <c r="A308" s="401">
        <v>305</v>
      </c>
      <c r="B308" s="929" t="s">
        <v>706</v>
      </c>
      <c r="C308" s="929" t="s">
        <v>1147</v>
      </c>
      <c r="D308" s="899" t="str">
        <f t="shared" si="4"/>
        <v>Taux de couverture &lt;&gt; 100%</v>
      </c>
      <c r="E308" s="402" t="s">
        <v>1146</v>
      </c>
      <c r="F308" s="2338" t="s">
        <v>1680</v>
      </c>
      <c r="G308" s="403" t="s">
        <v>1475</v>
      </c>
    </row>
    <row r="309" spans="1:7" ht="25.9" customHeight="1">
      <c r="A309" s="401">
        <v>306</v>
      </c>
      <c r="D309" s="899" t="str">
        <f t="shared" si="4"/>
        <v>Apport annuel net par kWp (valeur standard)</v>
      </c>
      <c r="E309" s="402" t="s">
        <v>85</v>
      </c>
      <c r="F309" s="2338" t="s">
        <v>624</v>
      </c>
      <c r="G309" s="403" t="s">
        <v>1476</v>
      </c>
    </row>
    <row r="310" spans="1:7" ht="92.25" customHeight="1">
      <c r="A310" s="401">
        <v>307</v>
      </c>
      <c r="B310" s="929" t="s">
        <v>53</v>
      </c>
      <c r="C310" s="929" t="s">
        <v>883</v>
      </c>
      <c r="D310" s="899"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402" t="s">
        <v>3521</v>
      </c>
      <c r="F310" s="2338" t="s">
        <v>3520</v>
      </c>
      <c r="G310" s="403" t="s">
        <v>3519</v>
      </c>
    </row>
    <row r="311" spans="1:7" ht="25.9" customHeight="1">
      <c r="A311" s="401">
        <v>308</v>
      </c>
      <c r="D311" s="899" t="str">
        <f t="shared" si="4"/>
        <v>Choisir "Aération avec PAC air repris"</v>
      </c>
      <c r="E311" s="402" t="s">
        <v>42</v>
      </c>
      <c r="F311" s="2338" t="s">
        <v>106</v>
      </c>
      <c r="G311" s="403" t="s">
        <v>1477</v>
      </c>
    </row>
    <row r="312" spans="1:7" ht="25.9" customHeight="1">
      <c r="A312" s="401">
        <v>309</v>
      </c>
      <c r="D312" s="899" t="str">
        <f t="shared" si="4"/>
        <v>Choisir "Aération avec PAC air repris/fourni sans récup. de chaleur" ou PAC compacte avec air fourni/repris et ECS sans récup. de chaleur"</v>
      </c>
      <c r="E312" s="402" t="s">
        <v>43</v>
      </c>
      <c r="F312" s="2338" t="s">
        <v>107</v>
      </c>
      <c r="G312" s="403" t="s">
        <v>1478</v>
      </c>
    </row>
    <row r="313" spans="1:7" ht="25.9" customHeight="1">
      <c r="A313" s="401">
        <v>310</v>
      </c>
      <c r="D313" s="899" t="str">
        <f t="shared" si="4"/>
        <v>Choisir "Aération avec PAC air repris/fourni avec récup. de chaleur" ou PAC compacte avec air fourni/repris et ECS avec récup. de chaleur"</v>
      </c>
      <c r="E313" s="402" t="s">
        <v>44</v>
      </c>
      <c r="F313" s="2338" t="s">
        <v>623</v>
      </c>
      <c r="G313" s="403" t="s">
        <v>1479</v>
      </c>
    </row>
    <row r="314" spans="1:7" ht="45" customHeight="1">
      <c r="A314" s="401">
        <v>311</v>
      </c>
      <c r="B314" s="929" t="s">
        <v>1749</v>
      </c>
      <c r="C314" s="929" t="s">
        <v>1766</v>
      </c>
      <c r="D314" s="899" t="str">
        <f t="shared" si="4"/>
        <v>Si la description est exacte, la condition "taux de surface vitrée" n'est pas significative. Si l'une des caractéristiques ne correspond pas, "n.a." doit être sélectionné.</v>
      </c>
      <c r="E314" s="402" t="s">
        <v>1765</v>
      </c>
      <c r="F314" s="2338" t="s">
        <v>2218</v>
      </c>
      <c r="G314" s="403" t="s">
        <v>1916</v>
      </c>
    </row>
    <row r="315" spans="1:7" ht="25.9" customHeight="1">
      <c r="A315" s="401">
        <v>312</v>
      </c>
      <c r="B315" s="929" t="s">
        <v>53</v>
      </c>
      <c r="C315" s="929" t="s">
        <v>1750</v>
      </c>
      <c r="D315" s="899" t="str">
        <f t="shared" si="4"/>
        <v>Entrées</v>
      </c>
      <c r="E315" s="402" t="s">
        <v>53</v>
      </c>
      <c r="F315" s="2338" t="s">
        <v>1686</v>
      </c>
      <c r="G315" s="403" t="s">
        <v>1685</v>
      </c>
    </row>
    <row r="316" spans="1:7" ht="25.9" customHeight="1">
      <c r="A316" s="401">
        <v>313</v>
      </c>
      <c r="B316" s="929" t="s">
        <v>706</v>
      </c>
      <c r="C316" s="929" t="s">
        <v>1750</v>
      </c>
      <c r="D316" s="899" t="str">
        <f t="shared" si="4"/>
        <v>Justificatif</v>
      </c>
      <c r="E316" s="402" t="s">
        <v>706</v>
      </c>
      <c r="F316" s="2338" t="s">
        <v>1687</v>
      </c>
      <c r="G316" s="403" t="s">
        <v>1684</v>
      </c>
    </row>
    <row r="317" spans="1:7" ht="25.9" customHeight="1">
      <c r="A317" s="401">
        <v>314</v>
      </c>
      <c r="B317" s="929" t="s">
        <v>1799</v>
      </c>
      <c r="C317" s="929" t="s">
        <v>1750</v>
      </c>
      <c r="D317" s="899" t="str">
        <f t="shared" si="4"/>
        <v>Aperçu</v>
      </c>
      <c r="E317" s="402" t="s">
        <v>1798</v>
      </c>
      <c r="F317" s="2338" t="s">
        <v>2219</v>
      </c>
      <c r="G317" s="403" t="s">
        <v>2309</v>
      </c>
    </row>
    <row r="318" spans="1:7" ht="25.9" customHeight="1">
      <c r="A318" s="401">
        <v>315</v>
      </c>
      <c r="B318" s="929" t="s">
        <v>1799</v>
      </c>
      <c r="C318" s="929" t="s">
        <v>842</v>
      </c>
      <c r="D318" s="899" t="str">
        <f t="shared" si="4"/>
        <v>Aperçu</v>
      </c>
      <c r="E318" s="402" t="s">
        <v>1873</v>
      </c>
      <c r="F318" s="2338" t="s">
        <v>2219</v>
      </c>
      <c r="G318" s="403" t="s">
        <v>2309</v>
      </c>
    </row>
    <row r="319" spans="1:7" ht="25.9" customHeight="1">
      <c r="A319" s="401">
        <v>316</v>
      </c>
      <c r="B319" s="929" t="s">
        <v>1749</v>
      </c>
      <c r="C319" s="929" t="s">
        <v>1750</v>
      </c>
      <c r="D319" s="899" t="str">
        <f t="shared" si="4"/>
        <v>Eté</v>
      </c>
      <c r="E319" s="402" t="s">
        <v>1749</v>
      </c>
      <c r="F319" s="2338" t="s">
        <v>2220</v>
      </c>
      <c r="G319" s="403" t="s">
        <v>2310</v>
      </c>
    </row>
    <row r="320" spans="1:7" ht="25.9" customHeight="1">
      <c r="A320" s="401">
        <v>317</v>
      </c>
      <c r="B320" s="929" t="s">
        <v>1749</v>
      </c>
      <c r="C320" s="929" t="s">
        <v>1751</v>
      </c>
      <c r="D320" s="899" t="str">
        <f t="shared" si="4"/>
        <v>Protection thermique estivale dans le label Minergie</v>
      </c>
      <c r="E320" s="402" t="s">
        <v>2756</v>
      </c>
      <c r="F320" s="2338" t="s">
        <v>2757</v>
      </c>
      <c r="G320" s="403" t="s">
        <v>2758</v>
      </c>
    </row>
    <row r="321" spans="1:7" ht="96" customHeight="1">
      <c r="A321" s="401">
        <v>318</v>
      </c>
      <c r="B321" s="929" t="s">
        <v>1749</v>
      </c>
      <c r="C321" s="929" t="s">
        <v>848</v>
      </c>
      <c r="D321" s="899"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402" t="s">
        <v>1717</v>
      </c>
      <c r="F321" s="2338" t="s">
        <v>2221</v>
      </c>
      <c r="G321" s="403" t="s">
        <v>2311</v>
      </c>
    </row>
    <row r="322" spans="1:7" ht="39" customHeight="1">
      <c r="A322" s="401">
        <v>319</v>
      </c>
      <c r="B322" s="929" t="s">
        <v>1749</v>
      </c>
      <c r="C322" s="929" t="s">
        <v>1753</v>
      </c>
      <c r="D322" s="899" t="str">
        <f t="shared" si="4"/>
        <v>Variante 1: Evaluation globale de cas standards pour les affectations suivantes: habitation, bureau individuel ou paysager, salle de réunion et dépôt (sans refroidissement)</v>
      </c>
      <c r="E322" s="402" t="s">
        <v>1752</v>
      </c>
      <c r="F322" s="2338" t="s">
        <v>2222</v>
      </c>
      <c r="G322" s="403" t="s">
        <v>2312</v>
      </c>
    </row>
    <row r="323" spans="1:7" ht="25.9" customHeight="1">
      <c r="A323" s="401">
        <v>320</v>
      </c>
      <c r="B323" s="929" t="s">
        <v>1749</v>
      </c>
      <c r="C323" s="929" t="s">
        <v>1047</v>
      </c>
      <c r="D323" s="899" t="str">
        <f t="shared" si="4"/>
        <v>L'évaluation globale est valable pour les zones dans lesquelles les conditions suivantes sont respectées pour tous les locaux:</v>
      </c>
      <c r="E323" s="402" t="s">
        <v>1718</v>
      </c>
      <c r="F323" s="2338" t="s">
        <v>2223</v>
      </c>
      <c r="G323" s="403" t="s">
        <v>2313</v>
      </c>
    </row>
    <row r="324" spans="1:7" ht="54.95" customHeight="1">
      <c r="A324" s="401">
        <v>321</v>
      </c>
      <c r="B324" s="929" t="s">
        <v>1749</v>
      </c>
      <c r="C324" s="929" t="s">
        <v>1754</v>
      </c>
      <c r="D324" s="899" t="str">
        <f t="shared" si="4"/>
        <v>- pas de puits de lumière ou de fenêtre de toiture avec plus de 0.5 m² de surface vitrée; les surfaces plus grandes peuvent
  être converties en surfaces verticales (voir Aide à l'utilisation)</v>
      </c>
      <c r="E324" s="429" t="s">
        <v>1720</v>
      </c>
      <c r="F324" s="1394" t="s">
        <v>2759</v>
      </c>
      <c r="G324" s="1393" t="s">
        <v>2811</v>
      </c>
    </row>
    <row r="325" spans="1:7" ht="25.9" customHeight="1">
      <c r="A325" s="401">
        <v>322</v>
      </c>
      <c r="B325" s="929" t="s">
        <v>1749</v>
      </c>
      <c r="C325" s="929" t="s">
        <v>849</v>
      </c>
      <c r="D325" s="899" t="str">
        <f t="shared" ref="D325:D388" si="5">INDEX($E$4:$G$503,$A325,$A$1)</f>
        <v>- protection solaire extérieure mobile avec volet roulant ou store à lamelles (p.ex. Modules Minergie);</v>
      </c>
      <c r="E325" s="429" t="s">
        <v>2760</v>
      </c>
      <c r="F325" s="2338" t="s">
        <v>2761</v>
      </c>
      <c r="G325" s="1393" t="s">
        <v>2762</v>
      </c>
    </row>
    <row r="326" spans="1:7" ht="25.9" customHeight="1">
      <c r="A326" s="401">
        <v>323</v>
      </c>
      <c r="B326" s="929" t="s">
        <v>1749</v>
      </c>
      <c r="C326" s="929" t="s">
        <v>466</v>
      </c>
      <c r="D326" s="899" t="str">
        <f t="shared" si="5"/>
        <v>- rafraîchissement nocturne possible grâce aux fenêtres;</v>
      </c>
      <c r="E326" s="429" t="s">
        <v>1721</v>
      </c>
      <c r="F326" s="2338" t="s">
        <v>2224</v>
      </c>
      <c r="G326" s="403" t="s">
        <v>2314</v>
      </c>
    </row>
    <row r="327" spans="1:7" ht="25.9" customHeight="1">
      <c r="A327" s="401">
        <v>324</v>
      </c>
      <c r="B327" s="929" t="s">
        <v>1749</v>
      </c>
      <c r="C327" s="929" t="s">
        <v>852</v>
      </c>
      <c r="D327" s="899" t="str">
        <f t="shared" si="5"/>
        <v>- charges thermiques internes pas plus élevées que la valeur standard figurant dans le cahier technique SIA 2024.</v>
      </c>
      <c r="E327" s="429" t="s">
        <v>1722</v>
      </c>
      <c r="F327" s="2338" t="s">
        <v>2225</v>
      </c>
      <c r="G327" s="403" t="s">
        <v>2315</v>
      </c>
    </row>
    <row r="328" spans="1:7" ht="25.9" customHeight="1">
      <c r="A328" s="401">
        <v>325</v>
      </c>
      <c r="B328" s="929" t="s">
        <v>1749</v>
      </c>
      <c r="C328" s="929" t="s">
        <v>854</v>
      </c>
      <c r="D328" s="899" t="str">
        <f t="shared" si="5"/>
        <v>Les locaux de cette zone satisfont-ils les critères?</v>
      </c>
      <c r="E328" s="402" t="s">
        <v>1725</v>
      </c>
      <c r="F328" s="2338" t="s">
        <v>2226</v>
      </c>
      <c r="G328" s="403" t="s">
        <v>2316</v>
      </c>
    </row>
    <row r="329" spans="1:7" ht="25.9" customHeight="1">
      <c r="A329" s="401">
        <v>326</v>
      </c>
      <c r="B329" s="929" t="s">
        <v>1749</v>
      </c>
      <c r="C329" s="929" t="s">
        <v>1755</v>
      </c>
      <c r="D329" s="899" t="str">
        <f t="shared" si="5"/>
        <v>Protection solaire extérieure mobile. A déclarer ici sous "autres":</v>
      </c>
      <c r="E329" s="402" t="s">
        <v>1726</v>
      </c>
      <c r="F329" s="2338" t="s">
        <v>2227</v>
      </c>
      <c r="G329" s="403" t="s">
        <v>2317</v>
      </c>
    </row>
    <row r="330" spans="1:7" ht="25.9" customHeight="1">
      <c r="A330" s="401">
        <v>327</v>
      </c>
      <c r="B330" s="929" t="s">
        <v>1749</v>
      </c>
      <c r="C330" s="929" t="s">
        <v>886</v>
      </c>
      <c r="D330" s="899" t="str">
        <f t="shared" si="5"/>
        <v>Valeur g et désignation du produit</v>
      </c>
      <c r="E330" s="402" t="s">
        <v>1756</v>
      </c>
      <c r="F330" s="2338" t="s">
        <v>2228</v>
      </c>
      <c r="G330" s="403" t="s">
        <v>2318</v>
      </c>
    </row>
    <row r="331" spans="1:7" ht="46.5" customHeight="1">
      <c r="A331" s="401">
        <v>328</v>
      </c>
      <c r="B331" s="929" t="s">
        <v>1749</v>
      </c>
      <c r="C331" s="929" t="s">
        <v>1757</v>
      </c>
      <c r="D331" s="899" t="str">
        <f t="shared" si="5"/>
        <v>Habitation (individuelle ou collective), pièce avec 1 façade et plafond en béton apparent à &gt;80%: - taux de surface vitrée &lt;70%</v>
      </c>
      <c r="E331" s="402" t="s">
        <v>1727</v>
      </c>
      <c r="F331" s="2338" t="s">
        <v>2406</v>
      </c>
      <c r="G331" s="403" t="s">
        <v>2412</v>
      </c>
    </row>
    <row r="332" spans="1:7" ht="34.9" customHeight="1">
      <c r="A332" s="401">
        <v>329</v>
      </c>
      <c r="B332" s="929" t="s">
        <v>1749</v>
      </c>
      <c r="C332" s="929" t="s">
        <v>549</v>
      </c>
      <c r="D332" s="899" t="str">
        <f t="shared" si="5"/>
        <v>Habitation (individuelle ou collective), pièce d'angle avec plafond en béton apparent à &gt;80%: - taux de surface vitrée de chaque façade &lt;50%</v>
      </c>
      <c r="E332" s="402" t="s">
        <v>1728</v>
      </c>
      <c r="F332" s="2338" t="s">
        <v>2407</v>
      </c>
      <c r="G332" s="1393" t="s">
        <v>2413</v>
      </c>
    </row>
    <row r="333" spans="1:7" ht="49.5" customHeight="1">
      <c r="A333" s="401">
        <v>330</v>
      </c>
      <c r="B333" s="929" t="s">
        <v>1749</v>
      </c>
      <c r="C333" s="929" t="s">
        <v>1758</v>
      </c>
      <c r="D333" s="899" t="str">
        <f t="shared" si="5"/>
        <v>Habitation (individuelle ou collective), pièce d'angle ou pièce avec 1 façade. Dalle en bois avec chape ciment (min. 6 cm d'épaisseur) ou anhydrite (min. 5 cm d'épaisseur):  - taux de surface vitrée &lt;40%</v>
      </c>
      <c r="E333" s="402" t="s">
        <v>1729</v>
      </c>
      <c r="F333" s="2338" t="s">
        <v>2807</v>
      </c>
      <c r="G333" s="403" t="s">
        <v>2806</v>
      </c>
    </row>
    <row r="334" spans="1:7" ht="66" customHeight="1">
      <c r="A334" s="401">
        <v>331</v>
      </c>
      <c r="B334" s="929" t="s">
        <v>1749</v>
      </c>
      <c r="C334" s="929" t="s">
        <v>550</v>
      </c>
      <c r="D334" s="899"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402" t="s">
        <v>1730</v>
      </c>
      <c r="F334" s="2338" t="s">
        <v>2408</v>
      </c>
      <c r="G334" s="1393" t="s">
        <v>2808</v>
      </c>
    </row>
    <row r="335" spans="1:7" ht="42.75" customHeight="1">
      <c r="A335" s="401">
        <v>332</v>
      </c>
      <c r="B335" s="929" t="s">
        <v>1749</v>
      </c>
      <c r="C335" s="929" t="s">
        <v>551</v>
      </c>
      <c r="D335" s="899" t="str">
        <f t="shared" si="5"/>
        <v>Bureau individuel ou paysager, salle de réunion avec 1 façade et plafond en béton apparent à &gt;80%: - taux de surface vitrée &lt;50% et commande automatique des protections solaires</v>
      </c>
      <c r="E335" s="402" t="s">
        <v>1759</v>
      </c>
      <c r="F335" s="2338" t="s">
        <v>2409</v>
      </c>
      <c r="G335" s="403" t="s">
        <v>2810</v>
      </c>
    </row>
    <row r="336" spans="1:7" ht="40.5" customHeight="1">
      <c r="A336" s="401">
        <v>333</v>
      </c>
      <c r="B336" s="929" t="s">
        <v>1749</v>
      </c>
      <c r="C336" s="929" t="s">
        <v>496</v>
      </c>
      <c r="D336" s="899" t="str">
        <f t="shared" si="5"/>
        <v>Bureau individuel ou paysager, salle de réunion avec 2 façades (pièce d'angle) et plafond en béton apparent à &gt;80%: - taux de surface vitrée &lt;35% et commande automatique des protections solaires</v>
      </c>
      <c r="E336" s="402" t="s">
        <v>1760</v>
      </c>
      <c r="F336" s="2338" t="s">
        <v>2410</v>
      </c>
      <c r="G336" s="403" t="s">
        <v>2809</v>
      </c>
    </row>
    <row r="337" spans="1:7" ht="25.9" customHeight="1">
      <c r="A337" s="401">
        <v>334</v>
      </c>
      <c r="B337" s="929" t="s">
        <v>1749</v>
      </c>
      <c r="C337" s="929" t="s">
        <v>1762</v>
      </c>
      <c r="D337" s="899" t="str">
        <f t="shared" si="5"/>
        <v>Dépôt avec faibles charges thermiques internes</v>
      </c>
      <c r="E337" s="402" t="s">
        <v>1761</v>
      </c>
      <c r="F337" s="2338" t="s">
        <v>2229</v>
      </c>
      <c r="G337" s="403" t="s">
        <v>2319</v>
      </c>
    </row>
    <row r="338" spans="1:7" ht="67.5" customHeight="1">
      <c r="A338" s="401">
        <v>335</v>
      </c>
      <c r="B338" s="929" t="s">
        <v>1749</v>
      </c>
      <c r="C338" s="929" t="s">
        <v>868</v>
      </c>
      <c r="D338" s="899" t="str">
        <f t="shared" si="5"/>
        <v>"n.a.":    non applicable. Un tel type de local n'existe pas.
"oui":     il y a un local de ce type et tous les critères sont remplis.
"non":    il y a un local de ce type mais tous les critères ne sont pas remplis (p.ex. taux de surface vitrée trop élevé).</v>
      </c>
      <c r="E338" s="402" t="s">
        <v>1731</v>
      </c>
      <c r="F338" s="2338" t="s">
        <v>2411</v>
      </c>
      <c r="G338" s="403" t="s">
        <v>2414</v>
      </c>
    </row>
    <row r="339" spans="1:7" ht="25.9" customHeight="1">
      <c r="A339" s="401">
        <v>336</v>
      </c>
      <c r="B339" s="929" t="s">
        <v>1749</v>
      </c>
      <c r="C339" s="929" t="s">
        <v>1764</v>
      </c>
      <c r="D339" s="899" t="str">
        <f t="shared" si="5"/>
        <v>Si S14 s'avère exact, "n.a." doit être sélectionné dans S11.</v>
      </c>
      <c r="E339" s="402" t="s">
        <v>1763</v>
      </c>
      <c r="F339" s="2338" t="s">
        <v>2230</v>
      </c>
      <c r="G339" s="403" t="s">
        <v>2327</v>
      </c>
    </row>
    <row r="340" spans="1:7" ht="43.5" customHeight="1">
      <c r="A340" s="401">
        <v>337</v>
      </c>
      <c r="B340" s="929" t="s">
        <v>1749</v>
      </c>
      <c r="C340" s="929" t="s">
        <v>1766</v>
      </c>
      <c r="D340" s="899" t="str">
        <f t="shared" si="5"/>
        <v>Si la description est exacte, la condition "taux de surface vitrée" n'est pas significative. Si l'une des caractéristiques ne correspond pas, "n.a." doit être sélectionné.</v>
      </c>
      <c r="E340" s="402" t="s">
        <v>1765</v>
      </c>
      <c r="F340" s="2338" t="s">
        <v>2218</v>
      </c>
      <c r="G340" s="403" t="s">
        <v>1916</v>
      </c>
    </row>
    <row r="341" spans="1:7" ht="25.9" customHeight="1">
      <c r="A341" s="401">
        <v>338</v>
      </c>
      <c r="B341" s="929" t="s">
        <v>1749</v>
      </c>
      <c r="C341" s="929" t="s">
        <v>870</v>
      </c>
      <c r="D341" s="899" t="str">
        <f t="shared" si="5"/>
        <v>Variante 2: justification externe des critères selon SIA 382/1 (sans refroidissement)</v>
      </c>
      <c r="E341" s="402" t="s">
        <v>1732</v>
      </c>
      <c r="F341" s="2338" t="s">
        <v>2231</v>
      </c>
      <c r="G341" s="403" t="s">
        <v>2321</v>
      </c>
    </row>
    <row r="342" spans="1:7" ht="25.9" customHeight="1">
      <c r="A342" s="401">
        <v>339</v>
      </c>
      <c r="B342" s="929" t="s">
        <v>1749</v>
      </c>
      <c r="C342" s="929" t="s">
        <v>1767</v>
      </c>
      <c r="D342" s="899" t="str">
        <f t="shared" si="5"/>
        <v>Les conditions propres au respect de ces critères sont décrites et documentées en annexe.</v>
      </c>
      <c r="E342" s="402" t="s">
        <v>1733</v>
      </c>
      <c r="F342" s="2338" t="s">
        <v>2232</v>
      </c>
      <c r="G342" s="403" t="s">
        <v>2322</v>
      </c>
    </row>
    <row r="343" spans="1:7" ht="25.9" customHeight="1">
      <c r="A343" s="401">
        <v>340</v>
      </c>
      <c r="B343" s="929" t="s">
        <v>1749</v>
      </c>
      <c r="C343" s="929" t="s">
        <v>97</v>
      </c>
      <c r="D343" s="899" t="str">
        <f t="shared" si="5"/>
        <v>SIA 382/1 chiffre</v>
      </c>
      <c r="E343" s="402" t="s">
        <v>1734</v>
      </c>
      <c r="F343" s="2338" t="s">
        <v>2233</v>
      </c>
      <c r="G343" s="403" t="s">
        <v>2323</v>
      </c>
    </row>
    <row r="344" spans="1:7" ht="25.9" customHeight="1">
      <c r="A344" s="401">
        <v>341</v>
      </c>
      <c r="B344" s="929" t="s">
        <v>1749</v>
      </c>
      <c r="C344" s="929" t="s">
        <v>1768</v>
      </c>
      <c r="D344" s="899" t="str">
        <f t="shared" si="5"/>
        <v>Les exigences concernant la protection thermique estivale sont remplies conformément au formulaire supplémentaire correspondant.</v>
      </c>
      <c r="E344" s="402" t="s">
        <v>1736</v>
      </c>
      <c r="F344" s="2338" t="s">
        <v>2234</v>
      </c>
      <c r="G344" s="403" t="s">
        <v>2324</v>
      </c>
    </row>
    <row r="345" spans="1:7" ht="25.9" customHeight="1">
      <c r="A345" s="401">
        <v>342</v>
      </c>
      <c r="B345" s="929" t="s">
        <v>1749</v>
      </c>
      <c r="C345" s="929" t="s">
        <v>871</v>
      </c>
      <c r="D345" s="899" t="str">
        <f t="shared" si="5"/>
        <v>Remarques concernant la justification externe (manière, annexes, par ex. critères de choix selon Aide à l'utilisation):</v>
      </c>
      <c r="E345" s="402" t="s">
        <v>1741</v>
      </c>
      <c r="F345" s="2338" t="s">
        <v>2235</v>
      </c>
      <c r="G345" s="403" t="s">
        <v>2325</v>
      </c>
    </row>
    <row r="346" spans="1:7" ht="25.9" customHeight="1">
      <c r="A346" s="401">
        <v>343</v>
      </c>
      <c r="B346" s="929" t="s">
        <v>1749</v>
      </c>
      <c r="C346" s="929" t="s">
        <v>879</v>
      </c>
      <c r="D346" s="899" t="str">
        <f t="shared" si="5"/>
        <v>Variante 3: justification externe des critères selon SIA 382/1 (avec refroidissement)</v>
      </c>
      <c r="E346" s="402" t="s">
        <v>1769</v>
      </c>
      <c r="F346" s="2338" t="s">
        <v>2236</v>
      </c>
      <c r="G346" s="403" t="s">
        <v>2326</v>
      </c>
    </row>
    <row r="347" spans="1:7" ht="41.25" customHeight="1">
      <c r="A347" s="401">
        <v>344</v>
      </c>
      <c r="B347" s="929" t="s">
        <v>1749</v>
      </c>
      <c r="C347" s="929" t="s">
        <v>1770</v>
      </c>
      <c r="D347" s="899" t="str">
        <f t="shared" si="5"/>
        <v>Les températures de l'air intérieur en été sont calculées selon SIA 382/1 chiffre 4.4.4. Sans refroidissement, la courbe limite est dépassée en moins de 100 h.</v>
      </c>
      <c r="E347" s="402" t="s">
        <v>1742</v>
      </c>
      <c r="F347" s="2338" t="s">
        <v>2237</v>
      </c>
      <c r="G347" s="403" t="s">
        <v>2328</v>
      </c>
    </row>
    <row r="348" spans="1:7" ht="44.25" customHeight="1">
      <c r="A348" s="401">
        <v>345</v>
      </c>
      <c r="B348" s="929" t="s">
        <v>1749</v>
      </c>
      <c r="C348" s="929" t="s">
        <v>933</v>
      </c>
      <c r="D348" s="899" t="str">
        <f t="shared" si="5"/>
        <v>La zone est refroidie et les besoins en énergie sont calculés. 
Il n'y a aucune température trop élevée en été.</v>
      </c>
      <c r="E348" s="402" t="s">
        <v>1744</v>
      </c>
      <c r="F348" s="2338" t="s">
        <v>2242</v>
      </c>
      <c r="G348" s="403" t="s">
        <v>2329</v>
      </c>
    </row>
    <row r="349" spans="1:7" ht="25.9" customHeight="1">
      <c r="A349" s="401">
        <v>346</v>
      </c>
      <c r="B349" s="929" t="s">
        <v>1749</v>
      </c>
      <c r="C349" s="929" t="s">
        <v>938</v>
      </c>
      <c r="D349" s="899" t="str">
        <f t="shared" si="5"/>
        <v>Selon cette déclaration, les exigences pour la protection thermique estivale sont remplies.</v>
      </c>
      <c r="E349" s="402" t="s">
        <v>1748</v>
      </c>
      <c r="F349" s="2338" t="s">
        <v>2238</v>
      </c>
      <c r="G349" s="403" t="s">
        <v>2330</v>
      </c>
    </row>
    <row r="350" spans="1:7" ht="25.9" customHeight="1">
      <c r="A350" s="401">
        <v>347</v>
      </c>
      <c r="B350" s="929" t="s">
        <v>1749</v>
      </c>
      <c r="C350" s="929" t="s">
        <v>1771</v>
      </c>
      <c r="D350" s="899" t="str">
        <f t="shared" si="5"/>
        <v>Volets roulants</v>
      </c>
      <c r="E350" s="402" t="s">
        <v>1719</v>
      </c>
      <c r="F350" s="2338" t="s">
        <v>2239</v>
      </c>
      <c r="G350" s="403" t="s">
        <v>2763</v>
      </c>
    </row>
    <row r="351" spans="1:7" ht="25.9" customHeight="1">
      <c r="A351" s="401">
        <v>348</v>
      </c>
      <c r="B351" s="929" t="s">
        <v>1749</v>
      </c>
      <c r="C351" s="929" t="s">
        <v>1772</v>
      </c>
      <c r="D351" s="899" t="str">
        <f t="shared" si="5"/>
        <v>Stores à lamelles</v>
      </c>
      <c r="E351" s="402" t="s">
        <v>1773</v>
      </c>
      <c r="F351" s="2338" t="s">
        <v>2240</v>
      </c>
      <c r="G351" s="403" t="s">
        <v>2331</v>
      </c>
    </row>
    <row r="352" spans="1:7" ht="25.9" customHeight="1">
      <c r="A352" s="401">
        <v>349</v>
      </c>
      <c r="B352" s="929" t="s">
        <v>1749</v>
      </c>
      <c r="C352" s="929" t="s">
        <v>1774</v>
      </c>
      <c r="D352" s="899" t="str">
        <f t="shared" si="5"/>
        <v>Module Minergie</v>
      </c>
      <c r="E352" s="402" t="s">
        <v>2764</v>
      </c>
      <c r="F352" s="2338" t="s">
        <v>2765</v>
      </c>
      <c r="G352" s="403" t="s">
        <v>2332</v>
      </c>
    </row>
    <row r="353" spans="1:7" ht="25.9" customHeight="1">
      <c r="A353" s="401">
        <v>350</v>
      </c>
      <c r="B353" s="929" t="s">
        <v>1749</v>
      </c>
      <c r="C353" s="929" t="s">
        <v>1775</v>
      </c>
      <c r="D353" s="899" t="str">
        <f t="shared" si="5"/>
        <v>Autres</v>
      </c>
      <c r="E353" s="402" t="s">
        <v>179</v>
      </c>
      <c r="F353" s="2338" t="s">
        <v>2241</v>
      </c>
      <c r="G353" s="403" t="s">
        <v>1456</v>
      </c>
    </row>
    <row r="354" spans="1:7" ht="25.9" customHeight="1">
      <c r="A354" s="401">
        <v>351</v>
      </c>
      <c r="B354" s="929" t="s">
        <v>1749</v>
      </c>
      <c r="C354" s="929" t="s">
        <v>886</v>
      </c>
      <c r="D354" s="899" t="str">
        <f t="shared" si="5"/>
        <v>Valeur g et désignation du produit</v>
      </c>
      <c r="E354" s="402" t="s">
        <v>1756</v>
      </c>
      <c r="F354" s="2338" t="s">
        <v>2228</v>
      </c>
      <c r="G354" s="403" t="s">
        <v>2318</v>
      </c>
    </row>
    <row r="355" spans="1:7" ht="25.9" customHeight="1">
      <c r="A355" s="401">
        <v>352</v>
      </c>
      <c r="B355" s="929" t="s">
        <v>1749</v>
      </c>
      <c r="C355" s="929" t="s">
        <v>1764</v>
      </c>
      <c r="D355" s="899" t="str">
        <f t="shared" si="5"/>
        <v>Si S14 s'avère exact, "n.a." doit être sélectionné dans S11.</v>
      </c>
      <c r="E355" s="402" t="s">
        <v>1763</v>
      </c>
      <c r="F355" s="2338" t="s">
        <v>2230</v>
      </c>
      <c r="G355" s="403" t="s">
        <v>2320</v>
      </c>
    </row>
    <row r="356" spans="1:7" ht="25.9" customHeight="1">
      <c r="A356" s="401">
        <v>353</v>
      </c>
      <c r="B356" s="929" t="s">
        <v>53</v>
      </c>
      <c r="C356" s="929" t="s">
        <v>845</v>
      </c>
      <c r="D356" s="899" t="str">
        <f t="shared" si="5"/>
        <v>Nom du projet:</v>
      </c>
      <c r="E356" s="402" t="s">
        <v>1777</v>
      </c>
      <c r="F356" s="2338" t="s">
        <v>2243</v>
      </c>
      <c r="G356" s="403" t="s">
        <v>2333</v>
      </c>
    </row>
    <row r="357" spans="1:7" ht="25.9" customHeight="1">
      <c r="A357" s="401">
        <v>354</v>
      </c>
      <c r="B357" s="929" t="s">
        <v>53</v>
      </c>
      <c r="C357" s="929" t="s">
        <v>550</v>
      </c>
      <c r="D357" s="899" t="str">
        <f t="shared" si="5"/>
        <v>Facteur d'enveloppe</v>
      </c>
      <c r="E357" s="402" t="s">
        <v>176</v>
      </c>
      <c r="F357" s="2338" t="s">
        <v>2244</v>
      </c>
      <c r="G357" s="403" t="s">
        <v>2334</v>
      </c>
    </row>
    <row r="358" spans="1:7" ht="25.9" customHeight="1">
      <c r="A358" s="401">
        <v>355</v>
      </c>
      <c r="B358" s="929" t="s">
        <v>53</v>
      </c>
      <c r="C358" s="929" t="s">
        <v>1778</v>
      </c>
      <c r="D358" s="899" t="str">
        <f t="shared" si="5"/>
        <v xml:space="preserve">N° MOP: </v>
      </c>
      <c r="E358" s="402" t="s">
        <v>1779</v>
      </c>
      <c r="F358" s="2338" t="s">
        <v>2245</v>
      </c>
      <c r="G358" s="403" t="s">
        <v>2812</v>
      </c>
    </row>
    <row r="359" spans="1:7" ht="25.9" customHeight="1">
      <c r="A359" s="401">
        <v>356</v>
      </c>
      <c r="B359" s="929" t="s">
        <v>53</v>
      </c>
      <c r="C359" s="929" t="s">
        <v>848</v>
      </c>
      <c r="D359" s="899" t="str">
        <f t="shared" si="5"/>
        <v>Adresse du bâtiment:</v>
      </c>
      <c r="E359" s="402" t="s">
        <v>1780</v>
      </c>
      <c r="F359" s="2338" t="s">
        <v>2246</v>
      </c>
      <c r="G359" s="403" t="s">
        <v>2335</v>
      </c>
    </row>
    <row r="360" spans="1:7" ht="25.9" customHeight="1">
      <c r="A360" s="401">
        <v>357</v>
      </c>
      <c r="B360" s="929" t="s">
        <v>706</v>
      </c>
      <c r="C360" s="929" t="s">
        <v>878</v>
      </c>
      <c r="D360" s="899" t="str">
        <f t="shared" si="5"/>
        <v>Valeur limite pour les besoins en énergie finale sans photovoltaïque</v>
      </c>
      <c r="E360" s="402" t="s">
        <v>1781</v>
      </c>
      <c r="F360" s="2338" t="s">
        <v>2247</v>
      </c>
      <c r="G360" s="403" t="s">
        <v>2336</v>
      </c>
    </row>
    <row r="361" spans="1:7" ht="25.9" customHeight="1">
      <c r="A361" s="401">
        <v>358</v>
      </c>
      <c r="B361" s="929" t="s">
        <v>706</v>
      </c>
      <c r="C361" s="929" t="s">
        <v>705</v>
      </c>
      <c r="D361" s="899" t="str">
        <f t="shared" si="5"/>
        <v>Valeur limite pour l'indice Minergie MKZ</v>
      </c>
      <c r="E361" s="402" t="s">
        <v>1782</v>
      </c>
      <c r="F361" s="2338" t="s">
        <v>2248</v>
      </c>
      <c r="G361" s="403" t="s">
        <v>2337</v>
      </c>
    </row>
    <row r="362" spans="1:7" ht="25.9" customHeight="1">
      <c r="A362" s="401">
        <v>359</v>
      </c>
      <c r="B362" s="929" t="s">
        <v>313</v>
      </c>
      <c r="C362" s="929" t="s">
        <v>1755</v>
      </c>
      <c r="D362" s="899" t="str">
        <f t="shared" si="5"/>
        <v xml:space="preserve"> - Réduction pour la robinetterie</v>
      </c>
      <c r="E362" s="402" t="s">
        <v>1822</v>
      </c>
      <c r="F362" s="2338" t="s">
        <v>2249</v>
      </c>
      <c r="G362" s="1393" t="s">
        <v>2340</v>
      </c>
    </row>
    <row r="363" spans="1:7" ht="25.9" customHeight="1">
      <c r="A363" s="401">
        <v>360</v>
      </c>
      <c r="B363" s="929" t="s">
        <v>313</v>
      </c>
      <c r="C363" s="929" t="s">
        <v>488</v>
      </c>
      <c r="D363" s="899" t="str">
        <f t="shared" si="5"/>
        <v xml:space="preserve"> - Réduction pour le maintien de la chaleur</v>
      </c>
      <c r="E363" s="402" t="s">
        <v>1823</v>
      </c>
      <c r="F363" s="2338" t="s">
        <v>2250</v>
      </c>
      <c r="G363" s="1393" t="s">
        <v>2341</v>
      </c>
    </row>
    <row r="364" spans="1:7" ht="25.9" customHeight="1">
      <c r="A364" s="401">
        <v>361</v>
      </c>
      <c r="B364" s="929" t="s">
        <v>313</v>
      </c>
      <c r="C364" s="929" t="s">
        <v>868</v>
      </c>
      <c r="D364" s="899" t="str">
        <f t="shared" si="5"/>
        <v>Electricité</v>
      </c>
      <c r="E364" s="402" t="s">
        <v>1704</v>
      </c>
      <c r="F364" s="2338" t="s">
        <v>2251</v>
      </c>
      <c r="G364" s="403" t="s">
        <v>1455</v>
      </c>
    </row>
    <row r="365" spans="1:7" ht="25.9" customHeight="1">
      <c r="A365" s="401">
        <v>362</v>
      </c>
      <c r="B365" s="929" t="s">
        <v>313</v>
      </c>
      <c r="C365" s="929" t="s">
        <v>870</v>
      </c>
      <c r="D365" s="899" t="str">
        <f t="shared" si="5"/>
        <v xml:space="preserve">Données concernant l'utilisation du logement: </v>
      </c>
      <c r="E365" s="402" t="s">
        <v>1707</v>
      </c>
      <c r="F365" s="2338" t="s">
        <v>2252</v>
      </c>
      <c r="G365" s="403" t="s">
        <v>2338</v>
      </c>
    </row>
    <row r="366" spans="1:7" ht="25.9" customHeight="1">
      <c r="A366" s="401">
        <v>363</v>
      </c>
      <c r="B366" s="929" t="s">
        <v>313</v>
      </c>
      <c r="C366" s="929" t="s">
        <v>1767</v>
      </c>
      <c r="D366" s="899" t="str">
        <f t="shared" si="5"/>
        <v>Ascenseur / élévateur disponible sur place?</v>
      </c>
      <c r="E366" s="402" t="s">
        <v>1996</v>
      </c>
      <c r="F366" s="2338" t="s">
        <v>2253</v>
      </c>
      <c r="G366" s="403" t="s">
        <v>2339</v>
      </c>
    </row>
    <row r="367" spans="1:7" ht="25.9" customHeight="1">
      <c r="A367" s="401">
        <v>364</v>
      </c>
      <c r="B367" s="929" t="s">
        <v>313</v>
      </c>
      <c r="C367" s="929" t="s">
        <v>97</v>
      </c>
      <c r="D367" s="899" t="str">
        <f t="shared" si="5"/>
        <v>Tous les lave-vaiselle min. classe C</v>
      </c>
      <c r="E367" s="402" t="s">
        <v>4014</v>
      </c>
      <c r="F367" s="2338" t="s">
        <v>4015</v>
      </c>
      <c r="G367" s="403" t="s">
        <v>4016</v>
      </c>
    </row>
    <row r="368" spans="1:7" ht="25.9" customHeight="1">
      <c r="A368" s="401">
        <v>365</v>
      </c>
      <c r="B368" s="929" t="s">
        <v>313</v>
      </c>
      <c r="C368" s="929" t="s">
        <v>98</v>
      </c>
      <c r="D368" s="899" t="str">
        <f t="shared" si="5"/>
        <v>Tous les réfrigérateurs min. classe D</v>
      </c>
      <c r="E368" s="402" t="s">
        <v>4017</v>
      </c>
      <c r="F368" s="2338" t="s">
        <v>4018</v>
      </c>
      <c r="G368" s="403" t="s">
        <v>4019</v>
      </c>
    </row>
    <row r="369" spans="1:7" ht="25.9" customHeight="1">
      <c r="A369" s="401">
        <v>366</v>
      </c>
      <c r="B369" s="929" t="s">
        <v>313</v>
      </c>
      <c r="C369" s="929" t="s">
        <v>1795</v>
      </c>
      <c r="D369" s="899" t="str">
        <f t="shared" si="5"/>
        <v>Tous les congélateurs min. classe E</v>
      </c>
      <c r="E369" s="402" t="s">
        <v>4008</v>
      </c>
      <c r="F369" s="2338" t="s">
        <v>4006</v>
      </c>
      <c r="G369" s="403" t="s">
        <v>4007</v>
      </c>
    </row>
    <row r="370" spans="1:7" ht="25.9" customHeight="1">
      <c r="A370" s="401">
        <v>367</v>
      </c>
      <c r="B370" s="929" t="s">
        <v>313</v>
      </c>
      <c r="C370" s="929" t="s">
        <v>438</v>
      </c>
      <c r="D370" s="899" t="str">
        <f t="shared" si="5"/>
        <v>Tous les lave-linge min. classe C</v>
      </c>
      <c r="E370" s="402" t="s">
        <v>4009</v>
      </c>
      <c r="F370" s="2338" t="s">
        <v>4010</v>
      </c>
      <c r="G370" s="403" t="s">
        <v>4011</v>
      </c>
    </row>
    <row r="371" spans="1:7" ht="25.9" customHeight="1">
      <c r="A371" s="401">
        <v>368</v>
      </c>
      <c r="B371" s="929" t="s">
        <v>313</v>
      </c>
      <c r="C371" s="929" t="s">
        <v>380</v>
      </c>
      <c r="D371" s="899" t="str">
        <f t="shared" si="5"/>
        <v>Tous les sèche-linge sont de classe A+++</v>
      </c>
      <c r="E371" s="402" t="s">
        <v>1705</v>
      </c>
      <c r="F371" s="2338" t="s">
        <v>2254</v>
      </c>
      <c r="G371" s="403" t="s">
        <v>2342</v>
      </c>
    </row>
    <row r="372" spans="1:7" ht="25.9" customHeight="1">
      <c r="A372" s="401">
        <v>369</v>
      </c>
      <c r="B372" s="929" t="s">
        <v>313</v>
      </c>
      <c r="C372" s="929" t="s">
        <v>487</v>
      </c>
      <c r="D372" s="899" t="str">
        <f t="shared" si="5"/>
        <v>Toutes les cuisinières sont à induction</v>
      </c>
      <c r="E372" s="402" t="s">
        <v>1706</v>
      </c>
      <c r="F372" s="2338" t="s">
        <v>2255</v>
      </c>
      <c r="G372" s="403" t="s">
        <v>2343</v>
      </c>
    </row>
    <row r="373" spans="1:7" ht="25.9" customHeight="1">
      <c r="A373" s="401">
        <v>370</v>
      </c>
      <c r="B373" s="929" t="s">
        <v>313</v>
      </c>
      <c r="C373" s="929" t="s">
        <v>873</v>
      </c>
      <c r="D373" s="899" t="str">
        <f t="shared" si="5"/>
        <v>Eclairage LED au moins C &amp; régulation</v>
      </c>
      <c r="E373" s="402" t="s">
        <v>4627</v>
      </c>
      <c r="F373" s="2338" t="s">
        <v>4629</v>
      </c>
      <c r="G373" s="403" t="s">
        <v>4628</v>
      </c>
    </row>
    <row r="374" spans="1:7" ht="25.9" customHeight="1">
      <c r="A374" s="401">
        <v>371</v>
      </c>
      <c r="B374" s="929" t="s">
        <v>313</v>
      </c>
      <c r="C374" s="929" t="s">
        <v>878</v>
      </c>
      <c r="D374" s="899" t="str">
        <f t="shared" si="5"/>
        <v>Autres utilisations: données concernant l'éclairage</v>
      </c>
      <c r="E374" s="402" t="s">
        <v>1796</v>
      </c>
      <c r="F374" s="2338" t="s">
        <v>2256</v>
      </c>
      <c r="G374" s="403" t="s">
        <v>2344</v>
      </c>
    </row>
    <row r="375" spans="1:7" ht="25.9" customHeight="1">
      <c r="A375" s="401">
        <v>372</v>
      </c>
      <c r="B375" s="929" t="s">
        <v>313</v>
      </c>
      <c r="C375" s="929" t="s">
        <v>842</v>
      </c>
      <c r="D375" s="899" t="str">
        <f t="shared" si="5"/>
        <v>Données supplémentaires pour le</v>
      </c>
      <c r="E375" s="402" t="s">
        <v>1710</v>
      </c>
      <c r="F375" s="2338" t="s">
        <v>2257</v>
      </c>
      <c r="G375" s="403" t="s">
        <v>2345</v>
      </c>
    </row>
    <row r="376" spans="1:7" ht="25.9" customHeight="1">
      <c r="A376" s="401">
        <v>373</v>
      </c>
      <c r="B376" s="929" t="s">
        <v>313</v>
      </c>
      <c r="C376" s="929" t="s">
        <v>843</v>
      </c>
      <c r="D376" s="899" t="str">
        <f t="shared" si="5"/>
        <v>justificatif Minergie</v>
      </c>
      <c r="E376" s="402" t="s">
        <v>2766</v>
      </c>
      <c r="F376" s="2338" t="s">
        <v>2767</v>
      </c>
      <c r="G376" s="403" t="s">
        <v>2346</v>
      </c>
    </row>
    <row r="377" spans="1:7" ht="25.9" customHeight="1">
      <c r="A377" s="401">
        <v>374</v>
      </c>
      <c r="B377" s="929" t="s">
        <v>313</v>
      </c>
      <c r="C377" s="929" t="s">
        <v>880</v>
      </c>
      <c r="D377" s="899" t="str">
        <f t="shared" si="5"/>
        <v>Luminaires: module Minergie ou classe A+</v>
      </c>
      <c r="E377" s="402" t="s">
        <v>2768</v>
      </c>
      <c r="F377" s="2338" t="s">
        <v>2258</v>
      </c>
      <c r="G377" s="403" t="s">
        <v>2805</v>
      </c>
    </row>
    <row r="378" spans="1:7" ht="25.9" customHeight="1">
      <c r="A378" s="401">
        <v>375</v>
      </c>
      <c r="B378" s="929" t="s">
        <v>313</v>
      </c>
      <c r="C378" s="929" t="s">
        <v>1770</v>
      </c>
      <c r="D378" s="899" t="str">
        <f t="shared" si="5"/>
        <v>Commande d'éclairage de classe A++</v>
      </c>
      <c r="E378" s="402" t="s">
        <v>2769</v>
      </c>
      <c r="F378" s="2338" t="s">
        <v>2259</v>
      </c>
      <c r="G378" s="403" t="s">
        <v>2770</v>
      </c>
    </row>
    <row r="379" spans="1:7" ht="25.9" customHeight="1">
      <c r="A379" s="401">
        <v>376</v>
      </c>
      <c r="B379" s="929" t="s">
        <v>313</v>
      </c>
      <c r="C379" s="929" t="s">
        <v>1063</v>
      </c>
      <c r="D379" s="899" t="str">
        <f t="shared" si="5"/>
        <v>Installation photovoltaïque</v>
      </c>
      <c r="E379" s="402" t="s">
        <v>1708</v>
      </c>
      <c r="F379" s="2338" t="s">
        <v>1596</v>
      </c>
      <c r="G379" s="403" t="s">
        <v>2347</v>
      </c>
    </row>
    <row r="380" spans="1:7" ht="25.9" customHeight="1">
      <c r="A380" s="401">
        <v>377</v>
      </c>
      <c r="B380" s="929" t="s">
        <v>313</v>
      </c>
      <c r="C380" s="929" t="s">
        <v>1845</v>
      </c>
      <c r="D380" s="899" t="str">
        <f t="shared" si="5"/>
        <v>Rendement annuel [kWh/m2]</v>
      </c>
      <c r="E380" s="402" t="s">
        <v>1709</v>
      </c>
      <c r="F380" s="2338" t="s">
        <v>2260</v>
      </c>
      <c r="G380" s="403" t="s">
        <v>2348</v>
      </c>
    </row>
    <row r="381" spans="1:7" ht="25.9" customHeight="1">
      <c r="A381" s="401">
        <v>378</v>
      </c>
      <c r="B381" s="929" t="s">
        <v>53</v>
      </c>
      <c r="C381" s="929" t="s">
        <v>2081</v>
      </c>
      <c r="D381" s="899" t="str">
        <f t="shared" si="5"/>
        <v>Besoins personnels [%]</v>
      </c>
      <c r="E381" s="402" t="s">
        <v>2614</v>
      </c>
      <c r="F381" s="2338" t="s">
        <v>2261</v>
      </c>
      <c r="G381" s="403" t="s">
        <v>2349</v>
      </c>
    </row>
    <row r="382" spans="1:7" ht="25.9" customHeight="1">
      <c r="A382" s="401">
        <v>379</v>
      </c>
      <c r="B382" s="929" t="s">
        <v>53</v>
      </c>
      <c r="C382" s="929" t="s">
        <v>937</v>
      </c>
      <c r="D382" s="899" t="str">
        <f t="shared" si="5"/>
        <v>Puissance installée (sans CCF) [kWp]</v>
      </c>
      <c r="E382" s="402" t="s">
        <v>2610</v>
      </c>
      <c r="F382" s="2338" t="s">
        <v>2611</v>
      </c>
      <c r="G382" s="403" t="s">
        <v>2476</v>
      </c>
    </row>
    <row r="383" spans="1:7" ht="25.9" customHeight="1">
      <c r="A383" s="401">
        <v>380</v>
      </c>
      <c r="B383" s="929" t="s">
        <v>313</v>
      </c>
      <c r="C383" s="929" t="s">
        <v>941</v>
      </c>
      <c r="D383" s="899" t="str">
        <f t="shared" si="5"/>
        <v>Rendement annuel net [kWh/kWp] (joindre le calcul)</v>
      </c>
      <c r="E383" s="402" t="s">
        <v>1148</v>
      </c>
      <c r="F383" s="2338" t="s">
        <v>2262</v>
      </c>
      <c r="G383" s="403" t="s">
        <v>2350</v>
      </c>
    </row>
    <row r="384" spans="1:7" ht="25.9" customHeight="1">
      <c r="A384" s="401">
        <v>381</v>
      </c>
      <c r="B384" s="929" t="s">
        <v>313</v>
      </c>
      <c r="C384" s="929" t="s">
        <v>1844</v>
      </c>
      <c r="D384" s="899" t="str">
        <f t="shared" si="5"/>
        <v>Autres exigences</v>
      </c>
      <c r="E384" s="402" t="s">
        <v>1815</v>
      </c>
      <c r="F384" s="2338" t="s">
        <v>2263</v>
      </c>
      <c r="G384" s="403" t="s">
        <v>2351</v>
      </c>
    </row>
    <row r="385" spans="1:7" ht="25.9" customHeight="1">
      <c r="A385" s="401">
        <v>382</v>
      </c>
      <c r="B385" s="929" t="s">
        <v>313</v>
      </c>
      <c r="C385" s="929" t="s">
        <v>1843</v>
      </c>
      <c r="D385" s="899" t="str">
        <f t="shared" si="5"/>
        <v>Autodéclaration/attestation</v>
      </c>
      <c r="E385" s="402" t="s">
        <v>84</v>
      </c>
      <c r="F385" s="2338" t="s">
        <v>2264</v>
      </c>
      <c r="G385" s="403" t="s">
        <v>2352</v>
      </c>
    </row>
    <row r="386" spans="1:7" ht="25.9" customHeight="1">
      <c r="A386" s="401">
        <v>383</v>
      </c>
      <c r="B386" s="929" t="s">
        <v>5029</v>
      </c>
      <c r="C386" s="929" t="s">
        <v>5030</v>
      </c>
      <c r="D386" s="899" t="str">
        <f t="shared" si="5"/>
        <v xml:space="preserve">Exigence remplie?    </v>
      </c>
      <c r="E386" s="402" t="s">
        <v>2904</v>
      </c>
      <c r="F386" s="2338" t="s">
        <v>2902</v>
      </c>
      <c r="G386" s="403" t="s">
        <v>2903</v>
      </c>
    </row>
    <row r="387" spans="1:7" ht="25.9" customHeight="1">
      <c r="A387" s="401">
        <v>384</v>
      </c>
      <c r="B387" s="929" t="s">
        <v>313</v>
      </c>
      <c r="C387" s="929" t="s">
        <v>1842</v>
      </c>
      <c r="D387" s="899" t="str">
        <f t="shared" si="5"/>
        <v>Exigence</v>
      </c>
      <c r="E387" s="402" t="s">
        <v>494</v>
      </c>
      <c r="F387" s="2338" t="s">
        <v>2265</v>
      </c>
      <c r="G387" s="403" t="s">
        <v>2353</v>
      </c>
    </row>
    <row r="388" spans="1:7" ht="25.9" customHeight="1">
      <c r="A388" s="401">
        <v>385</v>
      </c>
      <c r="B388" s="929" t="s">
        <v>313</v>
      </c>
      <c r="C388" s="929" t="s">
        <v>1841</v>
      </c>
      <c r="D388" s="899" t="str">
        <f t="shared" si="5"/>
        <v>Valeur objet</v>
      </c>
      <c r="E388" s="402" t="s">
        <v>166</v>
      </c>
      <c r="F388" s="2338" t="s">
        <v>2266</v>
      </c>
      <c r="G388" s="403" t="s">
        <v>2354</v>
      </c>
    </row>
    <row r="389" spans="1:7" ht="25.9" customHeight="1">
      <c r="A389" s="401">
        <v>386</v>
      </c>
      <c r="B389" s="929" t="s">
        <v>622</v>
      </c>
      <c r="C389" s="929" t="s">
        <v>1800</v>
      </c>
      <c r="D389" s="899" t="str">
        <f t="shared" ref="D389:D452" si="6">INDEX($E$4:$G$503,$A389,$A$1)</f>
        <v>Etanchéité de la surface de l'enveloppe</v>
      </c>
      <c r="E389" s="402" t="s">
        <v>2607</v>
      </c>
      <c r="F389" s="2338" t="s">
        <v>2608</v>
      </c>
      <c r="G389" s="403" t="s">
        <v>2609</v>
      </c>
    </row>
    <row r="390" spans="1:7" ht="25.9" customHeight="1">
      <c r="A390" s="401">
        <v>387</v>
      </c>
      <c r="B390" s="929" t="s">
        <v>622</v>
      </c>
      <c r="C390" s="929" t="s">
        <v>1801</v>
      </c>
      <c r="D390" s="899" t="str">
        <f t="shared" si="6"/>
        <v>Etanchéité de la surface de l'enveloppe, rénovation</v>
      </c>
      <c r="E390" s="402" t="s">
        <v>2468</v>
      </c>
      <c r="F390" s="2338" t="s">
        <v>2267</v>
      </c>
      <c r="G390" s="403" t="s">
        <v>2355</v>
      </c>
    </row>
    <row r="391" spans="1:7" ht="25.9" customHeight="1">
      <c r="A391" s="401">
        <v>388</v>
      </c>
      <c r="B391" s="929" t="s">
        <v>313</v>
      </c>
      <c r="C391" s="929" t="s">
        <v>872</v>
      </c>
      <c r="D391" s="899" t="str">
        <f t="shared" si="6"/>
        <v>Appareils efficaces pour l’exploitation du bâtiment</v>
      </c>
      <c r="E391" s="402" t="s">
        <v>3957</v>
      </c>
      <c r="F391" s="2338" t="s">
        <v>4012</v>
      </c>
      <c r="G391" s="403" t="s">
        <v>4013</v>
      </c>
    </row>
    <row r="392" spans="1:7" ht="25.9" customHeight="1">
      <c r="A392" s="401">
        <v>389</v>
      </c>
      <c r="B392" s="929" t="s">
        <v>622</v>
      </c>
      <c r="C392" s="929" t="s">
        <v>1802</v>
      </c>
      <c r="D392" s="899" t="str">
        <f t="shared" si="6"/>
        <v>Eau chaude</v>
      </c>
      <c r="E392" s="402" t="s">
        <v>244</v>
      </c>
      <c r="F392" s="2338" t="s">
        <v>1645</v>
      </c>
      <c r="G392" s="403" t="s">
        <v>2356</v>
      </c>
    </row>
    <row r="393" spans="1:7" ht="25.9" customHeight="1">
      <c r="A393" s="401">
        <v>390</v>
      </c>
      <c r="B393" s="929" t="s">
        <v>622</v>
      </c>
      <c r="C393" s="929" t="s">
        <v>1803</v>
      </c>
      <c r="D393" s="899" t="str">
        <f t="shared" si="6"/>
        <v>Rejets thermiques issus de froid industriel</v>
      </c>
      <c r="E393" s="402" t="s">
        <v>195</v>
      </c>
      <c r="F393" s="2338" t="s">
        <v>2268</v>
      </c>
      <c r="G393" s="403" t="s">
        <v>2357</v>
      </c>
    </row>
    <row r="394" spans="1:7" ht="25.9" customHeight="1">
      <c r="A394" s="401">
        <v>391</v>
      </c>
      <c r="B394" s="929" t="s">
        <v>622</v>
      </c>
      <c r="C394" s="929" t="s">
        <v>1804</v>
      </c>
      <c r="D394" s="899" t="str">
        <f t="shared" si="6"/>
        <v>Rejets thermiques</v>
      </c>
      <c r="E394" s="402" t="s">
        <v>38</v>
      </c>
      <c r="F394" s="2338" t="s">
        <v>2269</v>
      </c>
      <c r="G394" s="403" t="s">
        <v>2358</v>
      </c>
    </row>
    <row r="395" spans="1:7" ht="25.9" customHeight="1">
      <c r="A395" s="401">
        <v>392</v>
      </c>
      <c r="B395" s="929" t="s">
        <v>622</v>
      </c>
      <c r="C395" s="929" t="s">
        <v>1806</v>
      </c>
      <c r="D395" s="899" t="str">
        <f t="shared" si="6"/>
        <v>Utilisation des rejets thermiques</v>
      </c>
      <c r="E395" s="402" t="s">
        <v>1805</v>
      </c>
      <c r="F395" s="2338" t="s">
        <v>2270</v>
      </c>
      <c r="G395" s="403" t="s">
        <v>2359</v>
      </c>
    </row>
    <row r="396" spans="1:7" ht="25.9" customHeight="1">
      <c r="A396" s="401">
        <v>393</v>
      </c>
      <c r="B396" s="929" t="s">
        <v>622</v>
      </c>
      <c r="C396" s="929" t="s">
        <v>1807</v>
      </c>
      <c r="D396" s="899" t="str">
        <f t="shared" si="6"/>
        <v>Exploitation optimisée piscine couverte</v>
      </c>
      <c r="E396" s="402" t="s">
        <v>167</v>
      </c>
      <c r="F396" s="2338" t="s">
        <v>2271</v>
      </c>
      <c r="G396" s="403" t="s">
        <v>2360</v>
      </c>
    </row>
    <row r="397" spans="1:7" ht="25.9" customHeight="1">
      <c r="A397" s="401">
        <v>394</v>
      </c>
      <c r="B397" s="929" t="s">
        <v>622</v>
      </c>
      <c r="C397" s="929" t="s">
        <v>1803</v>
      </c>
      <c r="D397" s="899" t="str">
        <f t="shared" si="6"/>
        <v>Recours aux énergies renouvelables</v>
      </c>
      <c r="E397" s="402" t="s">
        <v>1931</v>
      </c>
      <c r="F397" s="2338" t="s">
        <v>2272</v>
      </c>
      <c r="G397" s="403" t="s">
        <v>2361</v>
      </c>
    </row>
    <row r="398" spans="1:7" ht="25.9" customHeight="1">
      <c r="A398" s="401">
        <v>395</v>
      </c>
      <c r="B398" s="929" t="s">
        <v>622</v>
      </c>
      <c r="C398" s="929" t="s">
        <v>1930</v>
      </c>
      <c r="D398" s="899" t="str">
        <f t="shared" si="6"/>
        <v>Production de rejets thermiques?</v>
      </c>
      <c r="E398" s="402" t="s">
        <v>37</v>
      </c>
      <c r="F398" s="2338" t="s">
        <v>2273</v>
      </c>
      <c r="G398" s="403" t="s">
        <v>2362</v>
      </c>
    </row>
    <row r="399" spans="1:7" ht="25.9" customHeight="1">
      <c r="A399" s="401">
        <v>396</v>
      </c>
      <c r="B399" s="929" t="s">
        <v>622</v>
      </c>
      <c r="C399" s="929" t="s">
        <v>1808</v>
      </c>
      <c r="D399" s="899" t="str">
        <f t="shared" si="6"/>
        <v>Recours à 20% d'énergies renouvelables?</v>
      </c>
      <c r="E399" s="402" t="s">
        <v>1919</v>
      </c>
      <c r="F399" s="2338" t="s">
        <v>2274</v>
      </c>
      <c r="G399" s="403" t="s">
        <v>2363</v>
      </c>
    </row>
    <row r="400" spans="1:7" ht="25.9" customHeight="1">
      <c r="A400" s="401">
        <v>397</v>
      </c>
      <c r="B400" s="929" t="s">
        <v>622</v>
      </c>
      <c r="C400" s="929" t="s">
        <v>1809</v>
      </c>
      <c r="D400" s="899" t="str">
        <f t="shared" si="6"/>
        <v>Etanchéité qa,50 &lt; 1,2 m3/(h*m2)</v>
      </c>
      <c r="E400" s="402" t="s">
        <v>2469</v>
      </c>
      <c r="F400" s="2338" t="s">
        <v>2275</v>
      </c>
      <c r="G400" s="403" t="s">
        <v>2364</v>
      </c>
    </row>
    <row r="401" spans="1:7" ht="25.9" customHeight="1">
      <c r="A401" s="401">
        <v>398</v>
      </c>
      <c r="B401" s="929" t="s">
        <v>622</v>
      </c>
      <c r="C401" s="929" t="s">
        <v>1809</v>
      </c>
      <c r="D401" s="899" t="str">
        <f t="shared" si="6"/>
        <v>Etanchéité qa,50 &lt; 0,8 m3/(h*m2)</v>
      </c>
      <c r="E401" s="402" t="s">
        <v>2470</v>
      </c>
      <c r="F401" s="2338" t="s">
        <v>2276</v>
      </c>
      <c r="G401" s="403" t="s">
        <v>2365</v>
      </c>
    </row>
    <row r="402" spans="1:7" ht="25.9" customHeight="1">
      <c r="A402" s="401">
        <v>399</v>
      </c>
      <c r="B402" s="929" t="s">
        <v>622</v>
      </c>
      <c r="C402" s="929" t="s">
        <v>1811</v>
      </c>
      <c r="D402" s="899" t="str">
        <f t="shared" si="6"/>
        <v>Les rejets thermiques sont-ils utilisés?</v>
      </c>
      <c r="E402" s="402" t="s">
        <v>1810</v>
      </c>
      <c r="F402" s="2338" t="s">
        <v>2277</v>
      </c>
      <c r="G402" s="403" t="s">
        <v>2366</v>
      </c>
    </row>
    <row r="403" spans="1:7" ht="25.9" customHeight="1">
      <c r="A403" s="401">
        <v>400</v>
      </c>
      <c r="B403" s="929" t="s">
        <v>622</v>
      </c>
      <c r="C403" s="929" t="s">
        <v>1812</v>
      </c>
      <c r="D403" s="899" t="str">
        <f t="shared" si="6"/>
        <v>RC avec PAC sur ventilation, RC des eaux de piscine</v>
      </c>
      <c r="E403" s="402" t="s">
        <v>528</v>
      </c>
      <c r="F403" s="2338" t="s">
        <v>2278</v>
      </c>
      <c r="G403" s="403" t="s">
        <v>2367</v>
      </c>
    </row>
    <row r="404" spans="1:7" ht="25.9" customHeight="1">
      <c r="A404" s="401">
        <v>401</v>
      </c>
      <c r="B404" s="929" t="s">
        <v>622</v>
      </c>
      <c r="C404" s="929" t="s">
        <v>1047</v>
      </c>
      <c r="D404" s="899" t="str">
        <f t="shared" si="6"/>
        <v>Etanchéité qa,50 &lt; 1,6 m3/(h*m2)</v>
      </c>
      <c r="E404" s="402" t="s">
        <v>2471</v>
      </c>
      <c r="F404" s="2338" t="s">
        <v>2279</v>
      </c>
      <c r="G404" s="403" t="s">
        <v>2368</v>
      </c>
    </row>
    <row r="405" spans="1:7" ht="25.9" customHeight="1">
      <c r="A405" s="401">
        <v>402</v>
      </c>
      <c r="B405" s="929" t="s">
        <v>622</v>
      </c>
      <c r="C405" s="929" t="s">
        <v>1929</v>
      </c>
      <c r="D405" s="899" t="str">
        <f t="shared" si="6"/>
        <v>Pics de charge couverts avec max. 30% d'énergies fossiles?</v>
      </c>
      <c r="E405" s="402" t="s">
        <v>1932</v>
      </c>
      <c r="F405" s="2338" t="s">
        <v>2280</v>
      </c>
      <c r="G405" s="403" t="s">
        <v>2369</v>
      </c>
    </row>
    <row r="406" spans="1:7" ht="25.9" customHeight="1">
      <c r="A406" s="401">
        <v>403</v>
      </c>
      <c r="B406" s="929" t="s">
        <v>622</v>
      </c>
      <c r="C406" s="929" t="s">
        <v>1809</v>
      </c>
      <c r="D406" s="899" t="str">
        <f t="shared" si="6"/>
        <v>Concept d'étanchéité annexé?</v>
      </c>
      <c r="E406" s="402" t="s">
        <v>2906</v>
      </c>
      <c r="F406" s="2338" t="s">
        <v>2905</v>
      </c>
      <c r="G406" s="403" t="s">
        <v>3458</v>
      </c>
    </row>
    <row r="407" spans="1:7" ht="25.9" customHeight="1">
      <c r="A407" s="401">
        <v>404</v>
      </c>
      <c r="B407" s="929" t="s">
        <v>313</v>
      </c>
      <c r="C407" s="929" t="s">
        <v>1797</v>
      </c>
      <c r="D407" s="899" t="str">
        <f t="shared" si="6"/>
        <v>Eclairage: valeur du projet SIA 387/4</v>
      </c>
      <c r="E407" s="402" t="s">
        <v>3304</v>
      </c>
      <c r="F407" s="2338" t="s">
        <v>3305</v>
      </c>
      <c r="G407" s="403" t="s">
        <v>3306</v>
      </c>
    </row>
    <row r="408" spans="1:7" ht="25.9" customHeight="1">
      <c r="A408" s="401">
        <v>405</v>
      </c>
      <c r="B408" s="929" t="s">
        <v>313</v>
      </c>
      <c r="C408" s="929" t="s">
        <v>933</v>
      </c>
      <c r="D408" s="899" t="str">
        <f t="shared" si="6"/>
        <v>Eclairage: valeur moyenne SIA 387/4</v>
      </c>
      <c r="E408" s="402" t="s">
        <v>3431</v>
      </c>
      <c r="F408" s="2338" t="s">
        <v>3432</v>
      </c>
      <c r="G408" s="403" t="s">
        <v>3433</v>
      </c>
    </row>
    <row r="409" spans="1:7" ht="25.9" customHeight="1">
      <c r="A409" s="401">
        <v>406</v>
      </c>
      <c r="B409" s="929" t="s">
        <v>313</v>
      </c>
      <c r="C409" s="929" t="s">
        <v>1840</v>
      </c>
      <c r="D409" s="899" t="str">
        <f t="shared" si="6"/>
        <v>Exigence éclairage respectée?</v>
      </c>
      <c r="E409" s="402" t="s">
        <v>1814</v>
      </c>
      <c r="F409" s="2338" t="s">
        <v>2281</v>
      </c>
      <c r="G409" s="403" t="s">
        <v>2370</v>
      </c>
    </row>
    <row r="410" spans="1:7" ht="25.9" customHeight="1">
      <c r="A410" s="401">
        <v>407</v>
      </c>
      <c r="B410" s="929" t="s">
        <v>313</v>
      </c>
      <c r="C410" s="929" t="s">
        <v>496</v>
      </c>
      <c r="D410" s="899" t="str">
        <f t="shared" si="6"/>
        <v>Nombre d’unités d’habitation</v>
      </c>
      <c r="E410" s="402" t="s">
        <v>2209</v>
      </c>
      <c r="F410" s="2338" t="s">
        <v>2477</v>
      </c>
      <c r="G410" s="403" t="s">
        <v>2475</v>
      </c>
    </row>
    <row r="411" spans="1:7" ht="25.9" customHeight="1">
      <c r="A411" s="401">
        <v>408</v>
      </c>
      <c r="B411" s="929" t="s">
        <v>313</v>
      </c>
      <c r="C411" s="929" t="s">
        <v>1757</v>
      </c>
      <c r="D411" s="899" t="str">
        <f t="shared" si="6"/>
        <v xml:space="preserve"> - Longueur des bandes de chauffage</v>
      </c>
      <c r="E411" s="429" t="s">
        <v>1834</v>
      </c>
      <c r="F411" s="2338" t="s">
        <v>2282</v>
      </c>
      <c r="G411" s="1393" t="s">
        <v>2387</v>
      </c>
    </row>
    <row r="412" spans="1:7" ht="25.9" customHeight="1">
      <c r="A412" s="401">
        <v>409</v>
      </c>
      <c r="B412" s="929" t="s">
        <v>313</v>
      </c>
      <c r="C412" s="929" t="s">
        <v>879</v>
      </c>
      <c r="D412" s="899" t="str">
        <f t="shared" si="6"/>
        <v>Eclairage: rénovation complète?</v>
      </c>
      <c r="E412" s="402" t="s">
        <v>1839</v>
      </c>
      <c r="F412" s="2338" t="s">
        <v>2283</v>
      </c>
      <c r="G412" s="403" t="s">
        <v>2371</v>
      </c>
    </row>
    <row r="413" spans="1:7" ht="25.9" customHeight="1">
      <c r="A413" s="401">
        <v>410</v>
      </c>
      <c r="B413" s="929" t="s">
        <v>53</v>
      </c>
      <c r="C413" s="929" t="s">
        <v>1063</v>
      </c>
      <c r="D413" s="899" t="str">
        <f t="shared" si="6"/>
        <v>Apport annuel spécifique [kWh/kWp]</v>
      </c>
      <c r="E413" s="402" t="s">
        <v>2615</v>
      </c>
      <c r="F413" s="2338" t="s">
        <v>3065</v>
      </c>
      <c r="G413" s="403" t="s">
        <v>3066</v>
      </c>
    </row>
    <row r="414" spans="1:7" ht="25.9" customHeight="1">
      <c r="A414" s="401">
        <v>411</v>
      </c>
      <c r="B414" s="929" t="s">
        <v>53</v>
      </c>
      <c r="C414" s="929" t="s">
        <v>938</v>
      </c>
      <c r="D414" s="899" t="str">
        <f t="shared" si="6"/>
        <v>Puissance installée spécifique, par m2 SRE [W/m2] :</v>
      </c>
      <c r="E414" s="402" t="s">
        <v>5011</v>
      </c>
      <c r="F414" s="2338" t="s">
        <v>5012</v>
      </c>
      <c r="G414" s="403" t="s">
        <v>5013</v>
      </c>
    </row>
    <row r="415" spans="1:7" ht="25.9" customHeight="1">
      <c r="A415" s="401">
        <v>412</v>
      </c>
      <c r="B415" s="929" t="s">
        <v>622</v>
      </c>
      <c r="C415" s="929" t="s">
        <v>1813</v>
      </c>
      <c r="D415" s="899" t="str">
        <f t="shared" si="6"/>
        <v>Interventions importantes sur installations techniques?</v>
      </c>
      <c r="E415" s="402" t="s">
        <v>1936</v>
      </c>
      <c r="F415" s="2338" t="s">
        <v>2284</v>
      </c>
      <c r="G415" s="403" t="s">
        <v>2372</v>
      </c>
    </row>
    <row r="416" spans="1:7" ht="25.9" customHeight="1">
      <c r="A416" s="401">
        <v>413</v>
      </c>
      <c r="B416" s="929" t="s">
        <v>622</v>
      </c>
      <c r="C416" s="929" t="s">
        <v>1935</v>
      </c>
      <c r="D416" s="899" t="str">
        <f t="shared" si="6"/>
        <v>Concept de monitoring</v>
      </c>
      <c r="E416" s="402" t="s">
        <v>1933</v>
      </c>
      <c r="F416" s="2338" t="s">
        <v>2285</v>
      </c>
      <c r="G416" s="403" t="s">
        <v>2373</v>
      </c>
    </row>
    <row r="417" spans="1:7" ht="25.9" customHeight="1">
      <c r="A417" s="401">
        <v>414</v>
      </c>
      <c r="B417" s="929" t="s">
        <v>622</v>
      </c>
      <c r="C417" s="929" t="s">
        <v>1938</v>
      </c>
      <c r="D417" s="899" t="str">
        <f t="shared" si="6"/>
        <v>Concept de monitoring annexé?</v>
      </c>
      <c r="E417" s="402" t="s">
        <v>4760</v>
      </c>
      <c r="F417" s="2338" t="s">
        <v>2286</v>
      </c>
      <c r="G417" s="2230" t="s">
        <v>2374</v>
      </c>
    </row>
    <row r="418" spans="1:7" ht="25.9" customHeight="1">
      <c r="A418" s="401">
        <v>415</v>
      </c>
      <c r="B418" s="929" t="s">
        <v>1799</v>
      </c>
      <c r="C418" s="929" t="s">
        <v>1757</v>
      </c>
      <c r="D418" s="899" t="str">
        <f t="shared" si="6"/>
        <v>Projet</v>
      </c>
      <c r="E418" s="402" t="s">
        <v>1883</v>
      </c>
      <c r="F418" s="2338" t="s">
        <v>2287</v>
      </c>
      <c r="G418" s="403" t="s">
        <v>2375</v>
      </c>
    </row>
    <row r="419" spans="1:7" ht="25.9" customHeight="1">
      <c r="A419" s="401">
        <v>416</v>
      </c>
      <c r="B419" s="929" t="s">
        <v>1799</v>
      </c>
      <c r="C419" s="929" t="s">
        <v>848</v>
      </c>
      <c r="D419" s="899" t="str">
        <f t="shared" si="6"/>
        <v>Instructions</v>
      </c>
      <c r="E419" s="402" t="s">
        <v>1874</v>
      </c>
      <c r="F419" s="2338" t="s">
        <v>2288</v>
      </c>
      <c r="G419" s="403" t="s">
        <v>2376</v>
      </c>
    </row>
    <row r="420" spans="1:7" ht="45" customHeight="1">
      <c r="A420" s="401">
        <v>417</v>
      </c>
      <c r="B420" s="929" t="s">
        <v>1799</v>
      </c>
      <c r="C420" s="929" t="s">
        <v>1886</v>
      </c>
      <c r="D420" s="899" t="str">
        <f t="shared" si="6"/>
        <v>Le présent formulaire sert à la justification des labels Minergie, Minergie-P et Minergie-A. Le label correspondant peut être</v>
      </c>
      <c r="E420" s="402" t="s">
        <v>1875</v>
      </c>
      <c r="F420" s="2338" t="s">
        <v>2798</v>
      </c>
      <c r="G420" s="403" t="s">
        <v>3459</v>
      </c>
    </row>
    <row r="421" spans="1:7" ht="42" customHeight="1">
      <c r="A421" s="401">
        <v>418</v>
      </c>
      <c r="B421" s="929" t="s">
        <v>1799</v>
      </c>
      <c r="C421" s="929" t="s">
        <v>1753</v>
      </c>
      <c r="D421" s="899" t="str">
        <f t="shared" si="6"/>
        <v>sélectionné dans la feuille "Entrées". Une fois le justificatif rempli, il doit être téléchargé sur la plateforme Minergie online (MOP).</v>
      </c>
      <c r="E421" s="402" t="s">
        <v>1876</v>
      </c>
      <c r="F421" s="2338" t="s">
        <v>2797</v>
      </c>
      <c r="G421" s="403" t="s">
        <v>2802</v>
      </c>
    </row>
    <row r="422" spans="1:7" ht="42.75" customHeight="1">
      <c r="A422" s="401">
        <v>419</v>
      </c>
      <c r="B422" s="929" t="s">
        <v>1799</v>
      </c>
      <c r="C422" s="929" t="s">
        <v>1047</v>
      </c>
      <c r="D422" s="899" t="str">
        <f t="shared" si="6"/>
        <v>Après transmission sur MOP, le formulaire de demande est généré automatiquement. La demande signée, le présent formulaire</v>
      </c>
      <c r="E422" s="402" t="s">
        <v>1877</v>
      </c>
      <c r="F422" s="2338" t="s">
        <v>2799</v>
      </c>
      <c r="G422" s="403" t="s">
        <v>2804</v>
      </c>
    </row>
    <row r="423" spans="1:7" ht="45" customHeight="1">
      <c r="A423" s="401">
        <v>420</v>
      </c>
      <c r="B423" s="929" t="s">
        <v>1799</v>
      </c>
      <c r="C423" s="929" t="s">
        <v>1754</v>
      </c>
      <c r="D423" s="899" t="str">
        <f t="shared" si="6"/>
        <v>justificatif et tous les éventuels documents notifiés sur la demande doivent être envoyés au format papier à l'office de certification</v>
      </c>
      <c r="E423" s="402" t="s">
        <v>1878</v>
      </c>
      <c r="F423" s="2338" t="s">
        <v>2800</v>
      </c>
      <c r="G423" s="403" t="s">
        <v>2803</v>
      </c>
    </row>
    <row r="424" spans="1:7" ht="36" customHeight="1">
      <c r="A424" s="401">
        <v>421</v>
      </c>
      <c r="B424" s="929" t="s">
        <v>1799</v>
      </c>
      <c r="C424" s="929" t="s">
        <v>849</v>
      </c>
      <c r="D424" s="899" t="str">
        <f t="shared" si="6"/>
        <v>compétent. Observer le code couleur suivant pour remplir le formulaire justificatif:</v>
      </c>
      <c r="E424" s="402" t="s">
        <v>1879</v>
      </c>
      <c r="F424" s="2338" t="s">
        <v>2801</v>
      </c>
      <c r="G424" s="403" t="s">
        <v>2377</v>
      </c>
    </row>
    <row r="425" spans="1:7" ht="25.9" customHeight="1">
      <c r="A425" s="401">
        <v>422</v>
      </c>
      <c r="B425" s="929" t="s">
        <v>1799</v>
      </c>
      <c r="C425" s="929" t="s">
        <v>854</v>
      </c>
      <c r="D425" s="899" t="str">
        <f t="shared" si="6"/>
        <v>Champ de saisie (obligatoire)</v>
      </c>
      <c r="E425" s="402" t="s">
        <v>1880</v>
      </c>
      <c r="F425" s="2338" t="s">
        <v>2289</v>
      </c>
      <c r="G425" s="403" t="s">
        <v>2378</v>
      </c>
    </row>
    <row r="426" spans="1:7" ht="25.9" customHeight="1">
      <c r="A426" s="401">
        <v>423</v>
      </c>
      <c r="B426" s="929" t="s">
        <v>1799</v>
      </c>
      <c r="C426" s="929" t="s">
        <v>1887</v>
      </c>
      <c r="D426" s="899" t="str">
        <f t="shared" si="6"/>
        <v>Champ de saisie (facultatif)</v>
      </c>
      <c r="E426" s="402" t="s">
        <v>1881</v>
      </c>
      <c r="F426" s="2338" t="s">
        <v>2290</v>
      </c>
      <c r="G426" s="403" t="s">
        <v>2379</v>
      </c>
    </row>
    <row r="427" spans="1:7" ht="25.9" customHeight="1">
      <c r="A427" s="401">
        <v>424</v>
      </c>
      <c r="B427" s="929" t="s">
        <v>1799</v>
      </c>
      <c r="C427" s="929" t="s">
        <v>1888</v>
      </c>
      <c r="D427" s="899" t="str">
        <f t="shared" si="6"/>
        <v>Liste déroulante (obligatoire)</v>
      </c>
      <c r="E427" s="402" t="s">
        <v>1882</v>
      </c>
      <c r="F427" s="2338" t="s">
        <v>2291</v>
      </c>
      <c r="G427" s="403" t="s">
        <v>2380</v>
      </c>
    </row>
    <row r="428" spans="1:7" ht="25.9" customHeight="1">
      <c r="A428" s="401">
        <v>425</v>
      </c>
      <c r="B428" s="929" t="s">
        <v>1799</v>
      </c>
      <c r="C428" s="929" t="s">
        <v>866</v>
      </c>
      <c r="D428" s="899" t="str">
        <f t="shared" si="6"/>
        <v>Satisfaction de l'exigence principale</v>
      </c>
      <c r="E428" s="402" t="s">
        <v>1884</v>
      </c>
      <c r="F428" s="2338" t="s">
        <v>2292</v>
      </c>
      <c r="G428" s="403" t="s">
        <v>2381</v>
      </c>
    </row>
    <row r="429" spans="1:7" ht="25.9" customHeight="1">
      <c r="A429" s="401">
        <v>426</v>
      </c>
      <c r="B429" s="929" t="s">
        <v>1799</v>
      </c>
      <c r="C429" s="929" t="s">
        <v>98</v>
      </c>
      <c r="D429" s="899" t="str">
        <f t="shared" si="6"/>
        <v>Satisfaction des exigences de base</v>
      </c>
      <c r="E429" s="402" t="s">
        <v>2202</v>
      </c>
      <c r="F429" s="2338" t="s">
        <v>2293</v>
      </c>
      <c r="G429" s="403" t="s">
        <v>2382</v>
      </c>
    </row>
    <row r="430" spans="1:7" ht="25.9" customHeight="1">
      <c r="A430" s="401">
        <v>427</v>
      </c>
      <c r="B430" s="929" t="s">
        <v>1799</v>
      </c>
      <c r="C430" s="929" t="s">
        <v>868</v>
      </c>
      <c r="D430" s="899" t="str">
        <f t="shared" si="6"/>
        <v>Indice Minergie en kWh/m2</v>
      </c>
      <c r="E430" s="402" t="s">
        <v>1885</v>
      </c>
      <c r="F430" s="2338" t="s">
        <v>2294</v>
      </c>
      <c r="G430" s="403" t="s">
        <v>2383</v>
      </c>
    </row>
    <row r="431" spans="1:7" ht="25.9" customHeight="1">
      <c r="A431" s="401">
        <v>428</v>
      </c>
      <c r="B431" s="929" t="s">
        <v>1799</v>
      </c>
      <c r="C431" s="929" t="s">
        <v>513</v>
      </c>
      <c r="D431" s="899" t="str">
        <f t="shared" si="6"/>
        <v>Indice Minergie en CO2/m2</v>
      </c>
      <c r="E431" s="402" t="s">
        <v>2187</v>
      </c>
      <c r="F431" s="2338" t="s">
        <v>2295</v>
      </c>
      <c r="G431" s="2230" t="s">
        <v>2384</v>
      </c>
    </row>
    <row r="432" spans="1:7" ht="25.9" customHeight="1">
      <c r="A432" s="401">
        <v>429</v>
      </c>
      <c r="B432" s="929" t="s">
        <v>1799</v>
      </c>
      <c r="C432" s="929" t="s">
        <v>438</v>
      </c>
      <c r="D432" s="899" t="str">
        <f t="shared" si="6"/>
        <v>Besoins de chaleur en kWh/m²</v>
      </c>
      <c r="E432" s="402" t="s">
        <v>2771</v>
      </c>
      <c r="F432" s="2338" t="s">
        <v>2772</v>
      </c>
      <c r="G432" s="403" t="s">
        <v>2385</v>
      </c>
    </row>
    <row r="433" spans="1:7" ht="25.9" customHeight="1">
      <c r="A433" s="401">
        <v>430</v>
      </c>
      <c r="B433" s="929" t="s">
        <v>1799</v>
      </c>
      <c r="C433" s="929" t="s">
        <v>380</v>
      </c>
      <c r="D433" s="899" t="str">
        <f t="shared" si="6"/>
        <v>Energie finale sans photovoltaïque en kWh/m²</v>
      </c>
      <c r="E433" s="402" t="s">
        <v>2773</v>
      </c>
      <c r="F433" s="2338" t="s">
        <v>2774</v>
      </c>
      <c r="G433" s="403" t="s">
        <v>2386</v>
      </c>
    </row>
    <row r="434" spans="1:7" ht="25.9" customHeight="1">
      <c r="A434" s="401">
        <v>431</v>
      </c>
      <c r="B434" s="929" t="s">
        <v>1799</v>
      </c>
      <c r="C434" s="929" t="s">
        <v>487</v>
      </c>
      <c r="D434" s="899" t="str">
        <f t="shared" si="6"/>
        <v>Valeur limite Minergie pour l'éclairage en kWh/m²</v>
      </c>
      <c r="E434" s="402" t="s">
        <v>2775</v>
      </c>
      <c r="F434" s="2338" t="s">
        <v>2776</v>
      </c>
      <c r="G434" s="403" t="s">
        <v>4968</v>
      </c>
    </row>
    <row r="435" spans="1:7" ht="25.9" customHeight="1">
      <c r="A435" s="401">
        <v>432</v>
      </c>
      <c r="B435" s="929" t="s">
        <v>1799</v>
      </c>
      <c r="C435" s="929" t="s">
        <v>872</v>
      </c>
      <c r="D435" s="899" t="str">
        <f t="shared" si="6"/>
        <v>Visualisation de l'indice Minergie</v>
      </c>
      <c r="E435" s="402" t="s">
        <v>2777</v>
      </c>
      <c r="F435" s="2338" t="s">
        <v>2296</v>
      </c>
      <c r="G435" s="403" t="s">
        <v>2388</v>
      </c>
    </row>
    <row r="436" spans="1:7" ht="25.9" customHeight="1">
      <c r="A436" s="401">
        <v>433</v>
      </c>
      <c r="B436" s="929" t="s">
        <v>1799</v>
      </c>
      <c r="C436" s="929" t="s">
        <v>1896</v>
      </c>
      <c r="D436" s="899" t="str">
        <f t="shared" si="6"/>
        <v>Chauffage</v>
      </c>
      <c r="E436" s="402" t="s">
        <v>243</v>
      </c>
      <c r="F436" s="2338" t="s">
        <v>1644</v>
      </c>
      <c r="G436" s="403" t="s">
        <v>2389</v>
      </c>
    </row>
    <row r="437" spans="1:7" ht="25.9" customHeight="1">
      <c r="A437" s="401">
        <v>434</v>
      </c>
      <c r="B437" s="929" t="s">
        <v>1799</v>
      </c>
      <c r="C437" s="929" t="s">
        <v>1897</v>
      </c>
      <c r="D437" s="899" t="str">
        <f t="shared" si="6"/>
        <v>Eau chaude</v>
      </c>
      <c r="E437" s="402" t="s">
        <v>244</v>
      </c>
      <c r="F437" s="2338" t="s">
        <v>1645</v>
      </c>
      <c r="G437" s="403" t="s">
        <v>2356</v>
      </c>
    </row>
    <row r="438" spans="1:7" ht="25.9" customHeight="1">
      <c r="A438" s="401">
        <v>435</v>
      </c>
      <c r="B438" s="929" t="s">
        <v>1799</v>
      </c>
      <c r="C438" s="929" t="s">
        <v>1899</v>
      </c>
      <c r="D438" s="899" t="str">
        <f t="shared" si="6"/>
        <v>Eclairage</v>
      </c>
      <c r="E438" s="402" t="s">
        <v>696</v>
      </c>
      <c r="F438" s="2338" t="s">
        <v>2297</v>
      </c>
      <c r="G438" s="403" t="s">
        <v>2390</v>
      </c>
    </row>
    <row r="439" spans="1:7" ht="25.9" customHeight="1">
      <c r="A439" s="401">
        <v>436</v>
      </c>
      <c r="B439" s="929" t="s">
        <v>1799</v>
      </c>
      <c r="C439" s="929" t="s">
        <v>1900</v>
      </c>
      <c r="D439" s="899" t="str">
        <f t="shared" si="6"/>
        <v>Appareils</v>
      </c>
      <c r="E439" s="402" t="s">
        <v>1851</v>
      </c>
      <c r="F439" s="2338" t="s">
        <v>2298</v>
      </c>
      <c r="G439" s="403" t="s">
        <v>2391</v>
      </c>
    </row>
    <row r="440" spans="1:7" ht="25.9" customHeight="1">
      <c r="A440" s="401">
        <v>437</v>
      </c>
      <c r="B440" s="929" t="s">
        <v>1799</v>
      </c>
      <c r="C440" s="929" t="s">
        <v>1904</v>
      </c>
      <c r="D440" s="899" t="str">
        <f t="shared" si="6"/>
        <v>Installations techn. du bâtiment</v>
      </c>
      <c r="E440" s="402" t="s">
        <v>1854</v>
      </c>
      <c r="F440" s="2338" t="s">
        <v>2616</v>
      </c>
      <c r="G440" s="403" t="s">
        <v>2392</v>
      </c>
    </row>
    <row r="441" spans="1:7" ht="25.9" customHeight="1">
      <c r="A441" s="401">
        <v>438</v>
      </c>
      <c r="B441" s="929" t="s">
        <v>1799</v>
      </c>
      <c r="C441" s="929" t="s">
        <v>1902</v>
      </c>
      <c r="D441" s="899" t="str">
        <f t="shared" si="6"/>
        <v>Besoins d'énergie finale</v>
      </c>
      <c r="E441" s="402" t="s">
        <v>1901</v>
      </c>
      <c r="F441" s="2338" t="s">
        <v>2299</v>
      </c>
      <c r="G441" s="403" t="s">
        <v>2393</v>
      </c>
    </row>
    <row r="442" spans="1:7" ht="25.9" customHeight="1">
      <c r="A442" s="401">
        <v>439</v>
      </c>
      <c r="B442" s="929" t="s">
        <v>1799</v>
      </c>
      <c r="C442" s="929" t="s">
        <v>1903</v>
      </c>
      <c r="D442" s="899" t="str">
        <f t="shared" si="6"/>
        <v>Indice Minergie calculé</v>
      </c>
      <c r="E442" s="402" t="s">
        <v>2778</v>
      </c>
      <c r="F442" s="2338" t="s">
        <v>3570</v>
      </c>
      <c r="G442" s="403" t="s">
        <v>3571</v>
      </c>
    </row>
    <row r="443" spans="1:7" ht="25.9" customHeight="1">
      <c r="A443" s="401">
        <v>440</v>
      </c>
      <c r="B443" s="929" t="s">
        <v>1799</v>
      </c>
      <c r="C443" s="929" t="s">
        <v>1898</v>
      </c>
      <c r="D443" s="899" t="str">
        <f t="shared" si="6"/>
        <v>Electricité d'habitation</v>
      </c>
      <c r="E443" s="402" t="s">
        <v>3049</v>
      </c>
      <c r="F443" s="2338" t="s">
        <v>3050</v>
      </c>
      <c r="G443" s="403" t="s">
        <v>3051</v>
      </c>
    </row>
    <row r="444" spans="1:7" ht="25.9" customHeight="1">
      <c r="A444" s="401">
        <v>441</v>
      </c>
      <c r="B444" s="929" t="s">
        <v>1799</v>
      </c>
      <c r="C444" s="929" t="s">
        <v>1905</v>
      </c>
      <c r="D444" s="899" t="str">
        <f t="shared" si="6"/>
        <v>PV autoconsommation</v>
      </c>
      <c r="E444" s="402" t="s">
        <v>1914</v>
      </c>
      <c r="F444" s="2338" t="s">
        <v>2617</v>
      </c>
      <c r="G444" s="403" t="s">
        <v>2394</v>
      </c>
    </row>
    <row r="445" spans="1:7" ht="25.9" customHeight="1">
      <c r="A445" s="401">
        <v>442</v>
      </c>
      <c r="B445" s="929" t="s">
        <v>1799</v>
      </c>
      <c r="C445" s="929" t="s">
        <v>1906</v>
      </c>
      <c r="D445" s="899" t="str">
        <f t="shared" si="6"/>
        <v>PV part injectée</v>
      </c>
      <c r="E445" s="402" t="s">
        <v>1915</v>
      </c>
      <c r="F445" s="2338" t="s">
        <v>2618</v>
      </c>
      <c r="G445" s="403" t="s">
        <v>2395</v>
      </c>
    </row>
    <row r="446" spans="1:7" ht="25.9" customHeight="1">
      <c r="A446" s="401">
        <v>443</v>
      </c>
      <c r="B446" s="929" t="s">
        <v>1799</v>
      </c>
      <c r="C446" s="929" t="s">
        <v>1910</v>
      </c>
      <c r="D446" s="899" t="str">
        <f t="shared" si="6"/>
        <v>Besoins</v>
      </c>
      <c r="E446" s="402" t="s">
        <v>1909</v>
      </c>
      <c r="F446" s="2338" t="s">
        <v>2300</v>
      </c>
      <c r="G446" s="403" t="s">
        <v>2396</v>
      </c>
    </row>
    <row r="447" spans="1:7" ht="25.9" customHeight="1">
      <c r="A447" s="401">
        <v>444</v>
      </c>
      <c r="B447" s="929" t="s">
        <v>1799</v>
      </c>
      <c r="C447" s="929" t="s">
        <v>1907</v>
      </c>
      <c r="D447" s="899" t="str">
        <f t="shared" si="6"/>
        <v>Potentiel d'optimisation</v>
      </c>
      <c r="E447" s="402" t="s">
        <v>1911</v>
      </c>
      <c r="F447" s="2338" t="s">
        <v>2301</v>
      </c>
      <c r="G447" s="403" t="s">
        <v>2397</v>
      </c>
    </row>
    <row r="448" spans="1:7" ht="25.9" customHeight="1">
      <c r="A448" s="401">
        <v>445</v>
      </c>
      <c r="B448" s="929" t="s">
        <v>1799</v>
      </c>
      <c r="C448" s="929" t="s">
        <v>1908</v>
      </c>
      <c r="D448" s="899" t="str">
        <f t="shared" si="6"/>
        <v>Valeur limite Minergie</v>
      </c>
      <c r="E448" s="402" t="s">
        <v>2779</v>
      </c>
      <c r="F448" s="2338" t="s">
        <v>2780</v>
      </c>
      <c r="G448" s="403" t="s">
        <v>2398</v>
      </c>
    </row>
    <row r="449" spans="1:7" ht="25.9" customHeight="1">
      <c r="A449" s="401">
        <v>446</v>
      </c>
      <c r="B449" s="929" t="s">
        <v>1799</v>
      </c>
      <c r="C449" s="929" t="s">
        <v>1912</v>
      </c>
      <c r="D449" s="899" t="str">
        <f t="shared" si="6"/>
        <v>Besoins</v>
      </c>
      <c r="E449" s="402" t="s">
        <v>1909</v>
      </c>
      <c r="F449" s="2338" t="s">
        <v>2300</v>
      </c>
      <c r="G449" s="403" t="s">
        <v>2396</v>
      </c>
    </row>
    <row r="450" spans="1:7" ht="25.9" customHeight="1">
      <c r="A450" s="401">
        <v>447</v>
      </c>
      <c r="B450" s="929" t="s">
        <v>1799</v>
      </c>
      <c r="C450" s="929" t="s">
        <v>1913</v>
      </c>
      <c r="D450" s="899" t="str">
        <f t="shared" si="6"/>
        <v>Indice Minergie max.</v>
      </c>
      <c r="E450" s="402" t="s">
        <v>2781</v>
      </c>
      <c r="F450" s="2338" t="s">
        <v>3572</v>
      </c>
      <c r="G450" s="403" t="s">
        <v>2399</v>
      </c>
    </row>
    <row r="451" spans="1:7" ht="47.25" customHeight="1">
      <c r="A451" s="401">
        <v>448</v>
      </c>
      <c r="B451" s="929" t="s">
        <v>313</v>
      </c>
      <c r="C451" s="929" t="s">
        <v>941</v>
      </c>
      <c r="D451" s="899" t="str">
        <f t="shared" si="6"/>
        <v>Exigence Minergie-A: 
l'indice partiel éclairage, appareils et installations techniques générales est inférieur à l'autoproduction</v>
      </c>
      <c r="E451" s="402" t="s">
        <v>2213</v>
      </c>
      <c r="F451" s="2338" t="s">
        <v>2478</v>
      </c>
      <c r="G451" s="403" t="s">
        <v>2474</v>
      </c>
    </row>
    <row r="452" spans="1:7" ht="25.9" customHeight="1">
      <c r="A452" s="401">
        <v>449</v>
      </c>
      <c r="B452" s="929" t="s">
        <v>53</v>
      </c>
      <c r="C452" s="929" t="s">
        <v>1064</v>
      </c>
      <c r="D452" s="899" t="str">
        <f t="shared" si="6"/>
        <v>Taille min. de l'installation d’autoproduction d’électricité [kWp]:</v>
      </c>
      <c r="E452" s="402" t="s">
        <v>5010</v>
      </c>
      <c r="F452" s="2338" t="s">
        <v>5025</v>
      </c>
      <c r="G452" s="403" t="s">
        <v>5026</v>
      </c>
    </row>
    <row r="453" spans="1:7" ht="42.75" customHeight="1">
      <c r="A453" s="401">
        <v>450</v>
      </c>
      <c r="B453" s="929" t="s">
        <v>313</v>
      </c>
      <c r="C453" s="929" t="s">
        <v>1917</v>
      </c>
      <c r="D453" s="899" t="str">
        <f t="shared" ref="D453:D503" si="7">INDEX($E$4:$G$503,$A453,$A$1)</f>
        <v>Valable pour les catégories "Restaurants", "Installations sportives" et "Piscines couvertes":
fournir 20% d'énergie à partir de sources renouvelables.</v>
      </c>
      <c r="E453" s="402" t="s">
        <v>1918</v>
      </c>
      <c r="F453" s="2338" t="s">
        <v>2302</v>
      </c>
      <c r="G453" s="403" t="s">
        <v>2403</v>
      </c>
    </row>
    <row r="454" spans="1:7" ht="39.950000000000003" customHeight="1">
      <c r="A454" s="401">
        <v>451</v>
      </c>
      <c r="B454" s="929" t="s">
        <v>313</v>
      </c>
      <c r="C454" s="929" t="s">
        <v>1921</v>
      </c>
      <c r="D454" s="899" t="str">
        <f t="shared" si="7"/>
        <v>Valable pour la catégorie "Piscine couverte".</v>
      </c>
      <c r="E454" s="402" t="s">
        <v>1920</v>
      </c>
      <c r="F454" s="2338" t="s">
        <v>2303</v>
      </c>
      <c r="G454" s="403" t="s">
        <v>2400</v>
      </c>
    </row>
    <row r="455" spans="1:7" ht="26.1" customHeight="1">
      <c r="A455" s="401">
        <v>452</v>
      </c>
      <c r="B455" s="929" t="s">
        <v>53</v>
      </c>
      <c r="C455" s="929" t="s">
        <v>940</v>
      </c>
      <c r="D455" s="899" t="str">
        <f t="shared" si="7"/>
        <v>Les besoins sont couverts par la production d’électricité:</v>
      </c>
      <c r="E455" s="402" t="s">
        <v>2215</v>
      </c>
      <c r="F455" s="2338" t="s">
        <v>2479</v>
      </c>
      <c r="G455" s="403" t="s">
        <v>2480</v>
      </c>
    </row>
    <row r="456" spans="1:7" ht="25.9" customHeight="1">
      <c r="A456" s="401">
        <v>453</v>
      </c>
      <c r="B456" s="929" t="s">
        <v>313</v>
      </c>
      <c r="C456" s="929" t="s">
        <v>2083</v>
      </c>
      <c r="D456" s="899" t="str">
        <f t="shared" si="7"/>
        <v>Indice partiel
Besoins</v>
      </c>
      <c r="E456" s="402" t="s">
        <v>2082</v>
      </c>
      <c r="F456" s="2338" t="s">
        <v>2304</v>
      </c>
      <c r="G456" s="403" t="s">
        <v>2404</v>
      </c>
    </row>
    <row r="457" spans="1:7" ht="25.9" customHeight="1">
      <c r="A457" s="401">
        <v>454</v>
      </c>
      <c r="B457" s="929" t="s">
        <v>313</v>
      </c>
      <c r="C457" s="929" t="s">
        <v>2084</v>
      </c>
      <c r="D457" s="899" t="str">
        <f t="shared" si="7"/>
        <v>Production PV
(pondérée)</v>
      </c>
      <c r="E457" s="402" t="s">
        <v>2212</v>
      </c>
      <c r="F457" s="2338" t="s">
        <v>2305</v>
      </c>
      <c r="G457" s="403" t="s">
        <v>2405</v>
      </c>
    </row>
    <row r="458" spans="1:7" ht="25.9" customHeight="1">
      <c r="A458" s="401">
        <v>455</v>
      </c>
      <c r="B458" s="929" t="s">
        <v>1799</v>
      </c>
      <c r="C458" s="929" t="s">
        <v>2086</v>
      </c>
      <c r="D458" s="899" t="str">
        <f t="shared" si="7"/>
        <v>Exigence PV (pondérée)</v>
      </c>
      <c r="E458" s="402" t="s">
        <v>2085</v>
      </c>
      <c r="F458" s="2338" t="s">
        <v>2306</v>
      </c>
      <c r="G458" s="403" t="s">
        <v>2401</v>
      </c>
    </row>
    <row r="459" spans="1:7" ht="25.9" customHeight="1">
      <c r="A459" s="401">
        <v>456</v>
      </c>
      <c r="B459" s="929" t="s">
        <v>1799</v>
      </c>
      <c r="C459" s="929" t="s">
        <v>2088</v>
      </c>
      <c r="D459" s="899" t="str">
        <f t="shared" si="7"/>
        <v>Production PV (pondérée)</v>
      </c>
      <c r="E459" s="402" t="s">
        <v>2087</v>
      </c>
      <c r="F459" s="2338" t="s">
        <v>2307</v>
      </c>
      <c r="G459" s="403" t="s">
        <v>2402</v>
      </c>
    </row>
    <row r="460" spans="1:7" ht="25.9" customHeight="1">
      <c r="A460" s="401">
        <v>457</v>
      </c>
      <c r="B460" s="929" t="s">
        <v>1799</v>
      </c>
      <c r="C460" s="929" t="s">
        <v>868</v>
      </c>
      <c r="D460" s="899" t="str">
        <f t="shared" si="7"/>
        <v>Indice partiel Minergie-A</v>
      </c>
      <c r="E460" s="402" t="s">
        <v>2782</v>
      </c>
      <c r="F460" s="2338" t="s">
        <v>2783</v>
      </c>
      <c r="G460" s="403" t="s">
        <v>2784</v>
      </c>
    </row>
    <row r="461" spans="1:7" ht="25.9" customHeight="1">
      <c r="A461" s="401">
        <v>458</v>
      </c>
      <c r="B461" s="929" t="s">
        <v>1799</v>
      </c>
      <c r="C461" s="929" t="s">
        <v>513</v>
      </c>
      <c r="D461" s="899" t="str">
        <f t="shared" si="7"/>
        <v>MINERGIE-A: les besoins MKZ (sans PV) sont-ils couverts par le photovoltaïque?</v>
      </c>
      <c r="E461" s="402" t="s">
        <v>2785</v>
      </c>
      <c r="F461" s="2338" t="s">
        <v>2308</v>
      </c>
      <c r="G461" s="403" t="s">
        <v>2786</v>
      </c>
    </row>
    <row r="462" spans="1:7" ht="25.9" customHeight="1">
      <c r="A462" s="401">
        <v>459</v>
      </c>
      <c r="B462" s="929" t="s">
        <v>1799</v>
      </c>
      <c r="C462" s="929" t="s">
        <v>2189</v>
      </c>
      <c r="D462" s="899" t="str">
        <f t="shared" si="7"/>
        <v>Pas d’exigence</v>
      </c>
      <c r="E462" s="402" t="s">
        <v>2188</v>
      </c>
      <c r="F462" s="2338" t="s">
        <v>2481</v>
      </c>
      <c r="G462" s="403" t="s">
        <v>2472</v>
      </c>
    </row>
    <row r="463" spans="1:7" ht="25.9" customHeight="1">
      <c r="A463" s="401">
        <v>460</v>
      </c>
      <c r="B463" s="929" t="s">
        <v>53</v>
      </c>
      <c r="C463" s="929" t="s">
        <v>1840</v>
      </c>
      <c r="D463" s="899" t="str">
        <f t="shared" si="7"/>
        <v>Autoproduction d‘électricité</v>
      </c>
      <c r="E463" s="402" t="s">
        <v>2208</v>
      </c>
      <c r="F463" s="2338" t="s">
        <v>2482</v>
      </c>
      <c r="G463" s="403" t="s">
        <v>2473</v>
      </c>
    </row>
    <row r="464" spans="1:7" ht="25.9" customHeight="1">
      <c r="A464" s="401">
        <v>461</v>
      </c>
      <c r="B464" s="929" t="s">
        <v>1799</v>
      </c>
      <c r="C464" s="929" t="s">
        <v>871</v>
      </c>
      <c r="D464" s="899" t="str">
        <f t="shared" si="7"/>
        <v>Part d'énergies fossiles</v>
      </c>
      <c r="E464" s="402" t="s">
        <v>2540</v>
      </c>
      <c r="F464" s="2338" t="s">
        <v>2550</v>
      </c>
      <c r="G464" s="403" t="s">
        <v>2551</v>
      </c>
    </row>
    <row r="465" spans="1:7" ht="25.9" customHeight="1">
      <c r="A465" s="401">
        <v>462</v>
      </c>
      <c r="B465" s="929" t="s">
        <v>1799</v>
      </c>
      <c r="C465" s="929" t="s">
        <v>878</v>
      </c>
      <c r="D465" s="899" t="str">
        <f t="shared" si="7"/>
        <v>Les besoins sont couverts par la production d’électricité:</v>
      </c>
      <c r="E465" s="402" t="s">
        <v>2215</v>
      </c>
      <c r="F465" s="2338" t="s">
        <v>2479</v>
      </c>
      <c r="G465" s="403" t="s">
        <v>2480</v>
      </c>
    </row>
    <row r="466" spans="1:7" ht="25.9" customHeight="1">
      <c r="A466" s="401">
        <v>463</v>
      </c>
      <c r="B466" s="929" t="s">
        <v>622</v>
      </c>
      <c r="C466" s="929" t="s">
        <v>2539</v>
      </c>
      <c r="D466" s="899" t="str">
        <f t="shared" si="7"/>
        <v>Rubans chauffants</v>
      </c>
      <c r="E466" s="402" t="s">
        <v>3577</v>
      </c>
      <c r="F466" s="2338" t="s">
        <v>2534</v>
      </c>
      <c r="G466" s="403" t="s">
        <v>2535</v>
      </c>
    </row>
    <row r="467" spans="1:7" ht="25.9" customHeight="1">
      <c r="A467" s="401">
        <v>464</v>
      </c>
      <c r="B467" s="929" t="s">
        <v>313</v>
      </c>
      <c r="C467" s="929" t="s">
        <v>854</v>
      </c>
      <c r="D467" s="899" t="str">
        <f t="shared" si="7"/>
        <v>Eau chaude, valeur calculée</v>
      </c>
      <c r="E467" s="402" t="s">
        <v>2544</v>
      </c>
      <c r="F467" s="2338" t="s">
        <v>2545</v>
      </c>
      <c r="G467" s="403" t="s">
        <v>2546</v>
      </c>
    </row>
    <row r="468" spans="1:7" ht="25.9" customHeight="1">
      <c r="A468" s="401">
        <v>465</v>
      </c>
      <c r="B468" s="929" t="s">
        <v>313</v>
      </c>
      <c r="C468" s="929" t="s">
        <v>1755</v>
      </c>
      <c r="D468" s="899" t="str">
        <f t="shared" si="7"/>
        <v>Eau chaude, SIA 385</v>
      </c>
      <c r="E468" s="402" t="s">
        <v>2547</v>
      </c>
      <c r="F468" s="2338" t="s">
        <v>2548</v>
      </c>
      <c r="G468" s="403" t="s">
        <v>2549</v>
      </c>
    </row>
    <row r="469" spans="1:7" ht="25.9" customHeight="1">
      <c r="A469" s="401">
        <v>466</v>
      </c>
      <c r="B469" s="929" t="s">
        <v>313</v>
      </c>
      <c r="C469" s="929" t="s">
        <v>853</v>
      </c>
      <c r="D469" s="899" t="str">
        <f t="shared" si="7"/>
        <v>Locataire inconnu</v>
      </c>
      <c r="E469" s="402" t="s">
        <v>2566</v>
      </c>
      <c r="F469" s="2338" t="s">
        <v>2787</v>
      </c>
      <c r="G469" s="403" t="s">
        <v>2788</v>
      </c>
    </row>
    <row r="470" spans="1:7" ht="25.9" customHeight="1">
      <c r="A470" s="401">
        <v>467</v>
      </c>
      <c r="B470" s="929" t="s">
        <v>1799</v>
      </c>
      <c r="C470" s="929" t="s">
        <v>1899</v>
      </c>
      <c r="D470" s="899" t="str">
        <f t="shared" si="7"/>
        <v>ventilation et climatisation</v>
      </c>
      <c r="E470" s="402" t="s">
        <v>2595</v>
      </c>
      <c r="F470" s="2338" t="s">
        <v>2619</v>
      </c>
      <c r="G470" s="403" t="s">
        <v>2789</v>
      </c>
    </row>
    <row r="471" spans="1:7" ht="36" customHeight="1">
      <c r="A471" s="401">
        <v>468</v>
      </c>
      <c r="B471" s="929" t="s">
        <v>1799</v>
      </c>
      <c r="C471" s="929" t="s">
        <v>2603</v>
      </c>
      <c r="D471" s="899" t="str">
        <f t="shared" si="7"/>
        <v xml:space="preserve">   Production PV</v>
      </c>
      <c r="E471" s="429" t="s">
        <v>2898</v>
      </c>
      <c r="F471" s="1394" t="s">
        <v>2899</v>
      </c>
      <c r="G471" s="1393" t="s">
        <v>2900</v>
      </c>
    </row>
    <row r="472" spans="1:7" ht="25.9" customHeight="1">
      <c r="A472" s="401">
        <v>469</v>
      </c>
      <c r="B472" s="929" t="s">
        <v>1799</v>
      </c>
      <c r="C472" s="929" t="s">
        <v>2604</v>
      </c>
      <c r="D472" s="899" t="str">
        <f t="shared" si="7"/>
        <v xml:space="preserve">       Valeur de l'objet
 </v>
      </c>
      <c r="E472" s="429" t="s">
        <v>2897</v>
      </c>
      <c r="F472" s="1394" t="s">
        <v>2901</v>
      </c>
      <c r="G472" s="1393" t="s">
        <v>2896</v>
      </c>
    </row>
    <row r="473" spans="1:7" ht="25.9" customHeight="1">
      <c r="A473" s="401">
        <v>470</v>
      </c>
      <c r="B473" s="929" t="s">
        <v>1799</v>
      </c>
      <c r="C473" s="929" t="s">
        <v>2605</v>
      </c>
      <c r="D473" s="899" t="str">
        <f t="shared" si="7"/>
        <v>PV non pris en compte</v>
      </c>
      <c r="E473" s="402" t="s">
        <v>2596</v>
      </c>
      <c r="F473" s="2338" t="s">
        <v>2793</v>
      </c>
      <c r="G473" s="403" t="s">
        <v>2790</v>
      </c>
    </row>
    <row r="474" spans="1:7" ht="25.9" customHeight="1">
      <c r="A474" s="401">
        <v>471</v>
      </c>
      <c r="B474" s="929" t="s">
        <v>622</v>
      </c>
      <c r="C474" s="929" t="s">
        <v>1809</v>
      </c>
      <c r="D474" s="899" t="str">
        <f t="shared" si="7"/>
        <v>Concept d'étanchéité et de mesure annexé?</v>
      </c>
      <c r="E474" s="402" t="s">
        <v>2907</v>
      </c>
      <c r="F474" s="2338" t="s">
        <v>2908</v>
      </c>
      <c r="G474" s="403" t="s">
        <v>2909</v>
      </c>
    </row>
    <row r="475" spans="1:7" ht="25.9" customHeight="1">
      <c r="A475" s="401">
        <v>472</v>
      </c>
      <c r="B475" s="929" t="s">
        <v>53</v>
      </c>
      <c r="C475" s="929" t="s">
        <v>5031</v>
      </c>
      <c r="D475" s="899" t="str">
        <f t="shared" si="7"/>
        <v>Capacité de la batterie [kWh]</v>
      </c>
      <c r="E475" s="402" t="s">
        <v>2612</v>
      </c>
      <c r="F475" s="2338" t="s">
        <v>2794</v>
      </c>
      <c r="G475" s="403" t="s">
        <v>2791</v>
      </c>
    </row>
    <row r="476" spans="1:7" ht="25.9" customHeight="1">
      <c r="A476" s="401">
        <v>473</v>
      </c>
      <c r="B476" s="929" t="s">
        <v>313</v>
      </c>
      <c r="C476" s="929" t="s">
        <v>1065</v>
      </c>
      <c r="D476" s="899" t="str">
        <f t="shared" si="7"/>
        <v>Pertes de la batterie [%]:</v>
      </c>
      <c r="E476" s="402" t="s">
        <v>2613</v>
      </c>
      <c r="F476" s="2338" t="s">
        <v>2795</v>
      </c>
      <c r="G476" s="403" t="s">
        <v>2792</v>
      </c>
    </row>
    <row r="477" spans="1:7" ht="40.5" customHeight="1">
      <c r="A477" s="401">
        <v>474</v>
      </c>
      <c r="B477" s="929" t="s">
        <v>1799</v>
      </c>
      <c r="C477" s="929" t="s">
        <v>2703</v>
      </c>
      <c r="D477" s="899" t="str">
        <f t="shared" si="7"/>
        <v xml:space="preserve">                                  E HWLK,li +
                        Besoins standard électricité
  </v>
      </c>
      <c r="E477" s="1510" t="s">
        <v>2893</v>
      </c>
      <c r="F477" s="2338" t="s">
        <v>2894</v>
      </c>
      <c r="G477" s="403" t="s">
        <v>2895</v>
      </c>
    </row>
    <row r="478" spans="1:7" ht="25.9" customHeight="1">
      <c r="A478" s="401">
        <v>475</v>
      </c>
      <c r="B478" s="929" t="s">
        <v>706</v>
      </c>
      <c r="C478" s="929" t="s">
        <v>1076</v>
      </c>
      <c r="D478" s="899" t="str">
        <f t="shared" si="7"/>
        <v>Indice Minergie (MKZ)</v>
      </c>
      <c r="E478" s="402" t="s">
        <v>1692</v>
      </c>
      <c r="F478" s="2338" t="s">
        <v>2796</v>
      </c>
      <c r="G478" s="403" t="s">
        <v>2712</v>
      </c>
    </row>
    <row r="479" spans="1:7" ht="25.9" customHeight="1">
      <c r="A479" s="401">
        <v>476</v>
      </c>
      <c r="B479" s="929" t="s">
        <v>1799</v>
      </c>
      <c r="C479" s="929" t="s">
        <v>2740</v>
      </c>
      <c r="D479" s="899" t="str">
        <f t="shared" si="7"/>
        <v>MKZ</v>
      </c>
      <c r="E479" s="402" t="s">
        <v>2713</v>
      </c>
      <c r="F479" s="2338" t="s">
        <v>2713</v>
      </c>
      <c r="G479" s="403" t="s">
        <v>2714</v>
      </c>
    </row>
    <row r="480" spans="1:7" ht="25.9" customHeight="1">
      <c r="A480" s="401">
        <v>477</v>
      </c>
      <c r="B480" s="929" t="s">
        <v>1799</v>
      </c>
      <c r="C480" s="929" t="s">
        <v>2715</v>
      </c>
      <c r="D480" s="899" t="str">
        <f t="shared" si="7"/>
        <v>H</v>
      </c>
      <c r="E480" s="402" t="s">
        <v>2716</v>
      </c>
      <c r="F480" s="2338" t="s">
        <v>2716</v>
      </c>
      <c r="G480" s="403" t="s">
        <v>2717</v>
      </c>
    </row>
    <row r="481" spans="1:7" ht="25.9" customHeight="1">
      <c r="A481" s="401">
        <v>478</v>
      </c>
      <c r="B481" s="929" t="s">
        <v>1799</v>
      </c>
      <c r="C481" s="929" t="s">
        <v>2718</v>
      </c>
      <c r="D481" s="899" t="str">
        <f t="shared" si="7"/>
        <v>ww</v>
      </c>
      <c r="E481" s="402" t="s">
        <v>525</v>
      </c>
      <c r="F481" s="2338" t="s">
        <v>525</v>
      </c>
      <c r="G481" s="403" t="s">
        <v>2719</v>
      </c>
    </row>
    <row r="482" spans="1:7" ht="25.9" customHeight="1">
      <c r="A482" s="401">
        <v>479</v>
      </c>
      <c r="B482" s="929" t="s">
        <v>1799</v>
      </c>
      <c r="C482" s="929" t="s">
        <v>2721</v>
      </c>
      <c r="D482" s="899" t="str">
        <f t="shared" si="7"/>
        <v>LK</v>
      </c>
      <c r="E482" s="402" t="s">
        <v>2722</v>
      </c>
      <c r="F482" s="2338" t="s">
        <v>2722</v>
      </c>
      <c r="G482" s="403" t="s">
        <v>2720</v>
      </c>
    </row>
    <row r="483" spans="1:7" ht="25.9" customHeight="1">
      <c r="A483" s="401">
        <v>480</v>
      </c>
      <c r="B483" s="929" t="s">
        <v>1799</v>
      </c>
      <c r="C483" s="929" t="s">
        <v>2725</v>
      </c>
      <c r="D483" s="899" t="str">
        <f t="shared" si="7"/>
        <v>el,wohn.</v>
      </c>
      <c r="E483" s="402" t="s">
        <v>2724</v>
      </c>
      <c r="F483" s="2338" t="s">
        <v>2724</v>
      </c>
      <c r="G483" s="403" t="s">
        <v>2723</v>
      </c>
    </row>
    <row r="484" spans="1:7" ht="25.9" customHeight="1">
      <c r="A484" s="401">
        <v>481</v>
      </c>
      <c r="B484" s="929" t="s">
        <v>1799</v>
      </c>
      <c r="C484" s="929" t="s">
        <v>2726</v>
      </c>
      <c r="D484" s="899" t="str">
        <f t="shared" si="7"/>
        <v>Bel</v>
      </c>
      <c r="E484" s="402" t="s">
        <v>2727</v>
      </c>
      <c r="F484" s="2338" t="s">
        <v>2727</v>
      </c>
      <c r="G484" s="403" t="s">
        <v>2728</v>
      </c>
    </row>
    <row r="485" spans="1:7" ht="25.9" customHeight="1">
      <c r="A485" s="401">
        <v>482</v>
      </c>
      <c r="B485" s="929" t="s">
        <v>1799</v>
      </c>
      <c r="C485" s="929" t="s">
        <v>2735</v>
      </c>
      <c r="D485" s="899" t="str">
        <f t="shared" si="7"/>
        <v>Geräte</v>
      </c>
      <c r="E485" s="402" t="s">
        <v>1851</v>
      </c>
      <c r="F485" s="2338" t="s">
        <v>1851</v>
      </c>
      <c r="G485" s="403" t="s">
        <v>2729</v>
      </c>
    </row>
    <row r="486" spans="1:7" ht="25.9" customHeight="1">
      <c r="A486" s="401">
        <v>483</v>
      </c>
      <c r="B486" s="929" t="s">
        <v>1799</v>
      </c>
      <c r="C486" s="929" t="s">
        <v>2736</v>
      </c>
      <c r="D486" s="899" t="str">
        <f t="shared" si="7"/>
        <v>AGT</v>
      </c>
      <c r="E486" s="402" t="s">
        <v>2730</v>
      </c>
      <c r="F486" s="2338" t="s">
        <v>2730</v>
      </c>
      <c r="G486" s="403" t="s">
        <v>2731</v>
      </c>
    </row>
    <row r="487" spans="1:7" ht="25.9" customHeight="1">
      <c r="A487" s="401">
        <v>484</v>
      </c>
      <c r="B487" s="929" t="s">
        <v>1799</v>
      </c>
      <c r="C487" s="929" t="s">
        <v>2734</v>
      </c>
      <c r="D487" s="899" t="str">
        <f t="shared" si="7"/>
        <v>EB</v>
      </c>
      <c r="E487" s="402" t="s">
        <v>2732</v>
      </c>
      <c r="F487" s="2338" t="s">
        <v>2732</v>
      </c>
      <c r="G487" s="403" t="s">
        <v>2733</v>
      </c>
    </row>
    <row r="488" spans="1:7" ht="25.9" customHeight="1">
      <c r="A488" s="401">
        <v>485</v>
      </c>
      <c r="B488" s="929" t="s">
        <v>1799</v>
      </c>
      <c r="C488" s="929" t="s">
        <v>2739</v>
      </c>
      <c r="D488" s="899" t="str">
        <f t="shared" si="7"/>
        <v>Netz</v>
      </c>
      <c r="E488" s="402" t="s">
        <v>2737</v>
      </c>
      <c r="F488" s="2338" t="s">
        <v>2737</v>
      </c>
      <c r="G488" s="403" t="s">
        <v>2738</v>
      </c>
    </row>
    <row r="489" spans="1:7" ht="25.9" customHeight="1">
      <c r="A489" s="401">
        <v>486</v>
      </c>
      <c r="B489" s="929" t="s">
        <v>2969</v>
      </c>
      <c r="C489" s="929" t="s">
        <v>2970</v>
      </c>
      <c r="D489" s="899" t="str">
        <f t="shared" si="7"/>
        <v>A reporter dans PVOpti</v>
      </c>
      <c r="E489" s="402" t="s">
        <v>2957</v>
      </c>
      <c r="F489" s="2338" t="s">
        <v>3159</v>
      </c>
      <c r="G489" s="403" t="s">
        <v>3160</v>
      </c>
    </row>
    <row r="490" spans="1:7" ht="25.9" customHeight="1">
      <c r="A490" s="401">
        <v>487</v>
      </c>
      <c r="B490" s="929" t="s">
        <v>2969</v>
      </c>
      <c r="C490" s="929" t="s">
        <v>2971</v>
      </c>
      <c r="D490" s="899" t="str">
        <f t="shared" si="7"/>
        <v>Veuillez copier la cellule jaune et la reporter dans PVOpti :</v>
      </c>
      <c r="E490" s="402" t="s">
        <v>2956</v>
      </c>
      <c r="F490" s="2338" t="s">
        <v>3161</v>
      </c>
      <c r="G490" s="403" t="s">
        <v>3162</v>
      </c>
    </row>
    <row r="491" spans="1:7" ht="25.9" customHeight="1">
      <c r="A491" s="401">
        <v>488</v>
      </c>
      <c r="B491" s="929" t="s">
        <v>2969</v>
      </c>
      <c r="C491" s="929" t="s">
        <v>2972</v>
      </c>
      <c r="D491" s="899" t="str">
        <f t="shared" si="7"/>
        <v>N° MOP: / Nom du projet : / Adresse du bâtiment :</v>
      </c>
      <c r="E491" s="402" t="s">
        <v>2937</v>
      </c>
      <c r="F491" s="2338" t="s">
        <v>3163</v>
      </c>
      <c r="G491" s="403" t="s">
        <v>3164</v>
      </c>
    </row>
    <row r="492" spans="1:7" ht="25.9" customHeight="1">
      <c r="A492" s="401">
        <v>489</v>
      </c>
      <c r="B492" s="929" t="s">
        <v>2969</v>
      </c>
      <c r="C492" s="929" t="s">
        <v>2973</v>
      </c>
      <c r="D492" s="899" t="str">
        <f t="shared" si="7"/>
        <v xml:space="preserve">N° de la parcelle : / Station météorologique : / LiebeLieu : </v>
      </c>
      <c r="E492" s="402" t="s">
        <v>2938</v>
      </c>
      <c r="F492" s="2338" t="s">
        <v>3165</v>
      </c>
      <c r="G492" s="403" t="s">
        <v>3166</v>
      </c>
    </row>
    <row r="493" spans="1:7" ht="25.9" customHeight="1">
      <c r="A493" s="401">
        <v>490</v>
      </c>
      <c r="B493" s="929" t="s">
        <v>2969</v>
      </c>
      <c r="C493" s="929" t="s">
        <v>2974</v>
      </c>
      <c r="D493" s="899" t="str">
        <f t="shared" si="7"/>
        <v>Installation de production de chaleur</v>
      </c>
      <c r="E493" s="402" t="s">
        <v>2931</v>
      </c>
      <c r="F493" s="2338" t="s">
        <v>3167</v>
      </c>
      <c r="G493" s="403" t="s">
        <v>3168</v>
      </c>
    </row>
    <row r="494" spans="1:7" ht="25.9" customHeight="1">
      <c r="A494" s="401">
        <v>491</v>
      </c>
      <c r="B494" s="929" t="s">
        <v>2969</v>
      </c>
      <c r="C494" s="929" t="s">
        <v>2975</v>
      </c>
      <c r="D494" s="899" t="str">
        <f t="shared" si="7"/>
        <v>Prod.  A</v>
      </c>
      <c r="E494" s="402" t="s">
        <v>2932</v>
      </c>
      <c r="F494" s="2338" t="s">
        <v>3169</v>
      </c>
      <c r="G494" s="403" t="s">
        <v>3170</v>
      </c>
    </row>
    <row r="495" spans="1:7" ht="25.9" customHeight="1">
      <c r="A495" s="401">
        <v>492</v>
      </c>
      <c r="B495" s="929" t="s">
        <v>2969</v>
      </c>
      <c r="C495" s="929" t="s">
        <v>2976</v>
      </c>
      <c r="D495" s="899" t="str">
        <f t="shared" si="7"/>
        <v>Prod. B</v>
      </c>
      <c r="E495" s="402" t="s">
        <v>2933</v>
      </c>
      <c r="F495" s="2338" t="s">
        <v>3171</v>
      </c>
      <c r="G495" s="403" t="s">
        <v>3171</v>
      </c>
    </row>
    <row r="496" spans="1:7" ht="25.9" customHeight="1">
      <c r="A496" s="401">
        <v>493</v>
      </c>
      <c r="B496" s="929" t="s">
        <v>2969</v>
      </c>
      <c r="C496" s="929" t="s">
        <v>2977</v>
      </c>
      <c r="D496" s="899" t="str">
        <f t="shared" si="7"/>
        <v>Prod. C</v>
      </c>
      <c r="E496" s="402" t="s">
        <v>2934</v>
      </c>
      <c r="F496" s="2338" t="s">
        <v>3172</v>
      </c>
      <c r="G496" s="403" t="s">
        <v>3172</v>
      </c>
    </row>
    <row r="497" spans="1:7" ht="25.9" customHeight="1">
      <c r="A497" s="401">
        <v>494</v>
      </c>
      <c r="B497" s="929" t="s">
        <v>2969</v>
      </c>
      <c r="C497" s="929" t="s">
        <v>2978</v>
      </c>
      <c r="D497" s="899" t="str">
        <f t="shared" si="7"/>
        <v>Prod. D</v>
      </c>
      <c r="E497" s="402" t="s">
        <v>2935</v>
      </c>
      <c r="F497" s="2338" t="s">
        <v>3173</v>
      </c>
      <c r="G497" s="403" t="s">
        <v>3173</v>
      </c>
    </row>
    <row r="498" spans="1:7" ht="25.9" customHeight="1">
      <c r="A498" s="401">
        <v>495</v>
      </c>
      <c r="B498" s="929" t="s">
        <v>2969</v>
      </c>
      <c r="C498" s="929" t="s">
        <v>2979</v>
      </c>
      <c r="D498" s="899" t="str">
        <f t="shared" si="7"/>
        <v>Capacité utile (kWh)</v>
      </c>
      <c r="E498" s="402" t="s">
        <v>2939</v>
      </c>
      <c r="F498" s="2338" t="s">
        <v>3174</v>
      </c>
      <c r="G498" s="403" t="s">
        <v>3175</v>
      </c>
    </row>
    <row r="499" spans="1:7" ht="25.9" customHeight="1">
      <c r="A499" s="401">
        <v>496</v>
      </c>
      <c r="B499" s="929" t="s">
        <v>2969</v>
      </c>
      <c r="C499" s="929" t="s">
        <v>2980</v>
      </c>
      <c r="D499" s="899" t="str">
        <f t="shared" si="7"/>
        <v>Zone</v>
      </c>
      <c r="E499" s="402" t="s">
        <v>312</v>
      </c>
      <c r="F499" s="2338" t="s">
        <v>312</v>
      </c>
      <c r="G499" s="403" t="s">
        <v>3176</v>
      </c>
    </row>
    <row r="500" spans="1:7" ht="25.9" customHeight="1">
      <c r="A500" s="401">
        <v>497</v>
      </c>
      <c r="B500" s="929" t="s">
        <v>2969</v>
      </c>
      <c r="C500" s="929" t="s">
        <v>2981</v>
      </c>
      <c r="D500" s="899" t="str">
        <f t="shared" si="7"/>
        <v>Catégorie de bâtiments</v>
      </c>
      <c r="E500" s="402" t="s">
        <v>331</v>
      </c>
      <c r="F500" s="2338" t="s">
        <v>3177</v>
      </c>
      <c r="G500" s="403" t="s">
        <v>3178</v>
      </c>
    </row>
    <row r="501" spans="1:7" ht="25.9" customHeight="1">
      <c r="A501" s="401">
        <v>498</v>
      </c>
      <c r="B501" s="929" t="s">
        <v>2969</v>
      </c>
      <c r="C501" s="929" t="s">
        <v>2982</v>
      </c>
      <c r="D501" s="899" t="str">
        <f t="shared" si="7"/>
        <v>Surface de référence énergétique SRE (m2)</v>
      </c>
      <c r="E501" s="402" t="s">
        <v>2940</v>
      </c>
      <c r="F501" s="2338" t="s">
        <v>3179</v>
      </c>
      <c r="G501" s="403" t="s">
        <v>3180</v>
      </c>
    </row>
    <row r="502" spans="1:7" ht="25.9" customHeight="1">
      <c r="A502" s="401">
        <v>499</v>
      </c>
      <c r="B502" s="929" t="s">
        <v>2969</v>
      </c>
      <c r="C502" s="929" t="s">
        <v>2983</v>
      </c>
      <c r="D502" s="899" t="str">
        <f t="shared" si="7"/>
        <v>Nouvelle construction</v>
      </c>
      <c r="E502" s="402" t="s">
        <v>650</v>
      </c>
      <c r="F502" s="2338" t="s">
        <v>1508</v>
      </c>
      <c r="G502" s="403" t="s">
        <v>3181</v>
      </c>
    </row>
    <row r="503" spans="1:7" ht="25.9" customHeight="1">
      <c r="A503" s="401">
        <v>500</v>
      </c>
      <c r="B503" s="929" t="s">
        <v>2969</v>
      </c>
      <c r="C503" s="929" t="s">
        <v>2984</v>
      </c>
      <c r="D503" s="899" t="str">
        <f t="shared" si="7"/>
        <v>Eau chaude, valeur calculée</v>
      </c>
      <c r="E503" s="402" t="s">
        <v>2941</v>
      </c>
      <c r="F503" s="2338" t="s">
        <v>2545</v>
      </c>
      <c r="G503" s="403" t="s">
        <v>3182</v>
      </c>
    </row>
    <row r="504" spans="1:7" ht="25.9" customHeight="1">
      <c r="A504" s="401">
        <v>501</v>
      </c>
      <c r="B504" s="929" t="s">
        <v>2969</v>
      </c>
      <c r="C504" s="929" t="s">
        <v>2985</v>
      </c>
      <c r="D504" s="899">
        <f>INDEX($E$4:$G$604,$A504,$A$1)</f>
        <v>0</v>
      </c>
      <c r="E504" s="429" t="s">
        <v>199</v>
      </c>
      <c r="F504" s="2338"/>
    </row>
    <row r="505" spans="1:7" ht="25.9" customHeight="1">
      <c r="A505" s="401">
        <v>502</v>
      </c>
      <c r="B505" s="929" t="s">
        <v>2969</v>
      </c>
      <c r="C505" s="929" t="s">
        <v>2986</v>
      </c>
      <c r="D505" s="899" t="str">
        <f t="shared" ref="D505:D572" si="8">INDEX($E$4:$G$604,$A505,$A$1)</f>
        <v>Climatisation</v>
      </c>
      <c r="E505" s="402" t="s">
        <v>2942</v>
      </c>
      <c r="F505" s="2338" t="s">
        <v>3183</v>
      </c>
      <c r="G505" s="403" t="s">
        <v>3460</v>
      </c>
    </row>
    <row r="506" spans="1:7" ht="25.9" customHeight="1">
      <c r="A506" s="401">
        <v>503</v>
      </c>
      <c r="B506" s="929" t="s">
        <v>2969</v>
      </c>
      <c r="C506" s="929" t="s">
        <v>2987</v>
      </c>
      <c r="D506" s="899" t="str">
        <f t="shared" si="8"/>
        <v>Ventilation</v>
      </c>
      <c r="E506" s="402" t="s">
        <v>642</v>
      </c>
      <c r="F506" s="2338" t="s">
        <v>3184</v>
      </c>
      <c r="G506" s="403" t="s">
        <v>3185</v>
      </c>
    </row>
    <row r="507" spans="1:7" ht="25.9" customHeight="1">
      <c r="A507" s="401">
        <v>504</v>
      </c>
      <c r="B507" s="929" t="s">
        <v>2969</v>
      </c>
      <c r="C507" s="929" t="s">
        <v>2988</v>
      </c>
      <c r="D507" s="899" t="str">
        <f t="shared" si="8"/>
        <v>Nombre d'unités d'habitation</v>
      </c>
      <c r="E507" s="402" t="s">
        <v>2209</v>
      </c>
      <c r="F507" s="2338" t="s">
        <v>3186</v>
      </c>
      <c r="G507" s="403" t="s">
        <v>3187</v>
      </c>
    </row>
    <row r="508" spans="1:7" ht="25.9" customHeight="1">
      <c r="A508" s="401">
        <v>505</v>
      </c>
      <c r="B508" s="929" t="s">
        <v>2969</v>
      </c>
      <c r="C508" s="929" t="s">
        <v>2989</v>
      </c>
      <c r="D508" s="899" t="str">
        <f t="shared" si="8"/>
        <v>Cons. ascenseur</v>
      </c>
      <c r="E508" s="402" t="s">
        <v>2943</v>
      </c>
      <c r="F508" s="2338" t="s">
        <v>3188</v>
      </c>
      <c r="G508" s="403" t="s">
        <v>3189</v>
      </c>
    </row>
    <row r="509" spans="1:7" ht="25.9" customHeight="1">
      <c r="A509" s="401">
        <v>506</v>
      </c>
      <c r="B509" s="929" t="s">
        <v>2969</v>
      </c>
      <c r="C509" s="929" t="s">
        <v>2990</v>
      </c>
      <c r="D509" s="899" t="str">
        <f t="shared" si="8"/>
        <v>Cons. des bandes de chauffage</v>
      </c>
      <c r="E509" s="402" t="s">
        <v>2944</v>
      </c>
      <c r="F509" s="2338" t="s">
        <v>3190</v>
      </c>
      <c r="G509" s="403" t="s">
        <v>3191</v>
      </c>
    </row>
    <row r="510" spans="1:7" ht="25.9" customHeight="1">
      <c r="A510" s="401">
        <v>507</v>
      </c>
      <c r="B510" s="929" t="s">
        <v>2969</v>
      </c>
      <c r="C510" s="929" t="s">
        <v>2991</v>
      </c>
      <c r="D510" s="899" t="str">
        <f t="shared" si="8"/>
        <v>Réduction pour le lave-vaisselle</v>
      </c>
      <c r="E510" s="402" t="s">
        <v>2945</v>
      </c>
      <c r="F510" s="2338" t="s">
        <v>3192</v>
      </c>
      <c r="G510" s="403" t="s">
        <v>3193</v>
      </c>
    </row>
    <row r="511" spans="1:7" ht="25.9" customHeight="1">
      <c r="A511" s="401">
        <v>508</v>
      </c>
      <c r="B511" s="929" t="s">
        <v>2969</v>
      </c>
      <c r="C511" s="929" t="s">
        <v>2992</v>
      </c>
      <c r="D511" s="899" t="str">
        <f t="shared" si="8"/>
        <v>Réduction pour le frigo et le congélateur</v>
      </c>
      <c r="E511" s="402" t="s">
        <v>2946</v>
      </c>
      <c r="F511" s="2338" t="s">
        <v>3194</v>
      </c>
      <c r="G511" s="403" t="s">
        <v>3195</v>
      </c>
    </row>
    <row r="512" spans="1:7" ht="25.9" customHeight="1">
      <c r="A512" s="401">
        <v>509</v>
      </c>
      <c r="B512" s="929" t="s">
        <v>2969</v>
      </c>
      <c r="C512" s="929" t="s">
        <v>2993</v>
      </c>
      <c r="D512" s="899" t="str">
        <f t="shared" si="8"/>
        <v>Réduction pour le lave-linge</v>
      </c>
      <c r="E512" s="402" t="s">
        <v>2947</v>
      </c>
      <c r="F512" s="2338" t="s">
        <v>3196</v>
      </c>
      <c r="G512" s="403" t="s">
        <v>3197</v>
      </c>
    </row>
    <row r="513" spans="1:7" ht="25.9" customHeight="1">
      <c r="A513" s="401">
        <v>510</v>
      </c>
      <c r="B513" s="929" t="s">
        <v>2969</v>
      </c>
      <c r="C513" s="929" t="s">
        <v>2994</v>
      </c>
      <c r="D513" s="899" t="str">
        <f t="shared" si="8"/>
        <v>Réduction pour le sèche-linge</v>
      </c>
      <c r="E513" s="402" t="s">
        <v>2948</v>
      </c>
      <c r="F513" s="2338" t="s">
        <v>3198</v>
      </c>
      <c r="G513" s="403" t="s">
        <v>3199</v>
      </c>
    </row>
    <row r="514" spans="1:7" ht="25.9" customHeight="1">
      <c r="A514" s="401">
        <v>511</v>
      </c>
      <c r="B514" s="929" t="s">
        <v>2969</v>
      </c>
      <c r="C514" s="929" t="s">
        <v>2995</v>
      </c>
      <c r="D514" s="899" t="str">
        <f t="shared" si="8"/>
        <v>Réduction pour la cuisinières à induction</v>
      </c>
      <c r="E514" s="402" t="s">
        <v>2949</v>
      </c>
      <c r="F514" s="2338" t="s">
        <v>3200</v>
      </c>
      <c r="G514" s="403" t="s">
        <v>3201</v>
      </c>
    </row>
    <row r="515" spans="1:7" ht="25.9" customHeight="1">
      <c r="A515" s="401">
        <v>512</v>
      </c>
      <c r="B515" s="929" t="s">
        <v>2969</v>
      </c>
      <c r="C515" s="929" t="s">
        <v>2996</v>
      </c>
      <c r="D515" s="899" t="str">
        <f t="shared" si="8"/>
        <v>Réduction pour l'éclairage</v>
      </c>
      <c r="E515" s="402" t="s">
        <v>2950</v>
      </c>
      <c r="F515" s="2338" t="s">
        <v>3202</v>
      </c>
      <c r="G515" s="403" t="s">
        <v>3203</v>
      </c>
    </row>
    <row r="516" spans="1:7" ht="25.9" customHeight="1">
      <c r="A516" s="401">
        <v>513</v>
      </c>
      <c r="B516" s="929" t="s">
        <v>2969</v>
      </c>
      <c r="C516" s="929" t="s">
        <v>2997</v>
      </c>
      <c r="D516" s="899" t="str">
        <f t="shared" si="8"/>
        <v>Réduction pour l'éclairage commun</v>
      </c>
      <c r="E516" s="402" t="s">
        <v>2951</v>
      </c>
      <c r="F516" s="2338" t="s">
        <v>3204</v>
      </c>
      <c r="G516" s="403" t="s">
        <v>3205</v>
      </c>
    </row>
    <row r="517" spans="1:7" ht="25.9" customHeight="1">
      <c r="A517" s="401">
        <v>514</v>
      </c>
      <c r="B517" s="929" t="s">
        <v>2969</v>
      </c>
      <c r="C517" s="929" t="s">
        <v>2998</v>
      </c>
      <c r="D517" s="899" t="str">
        <f t="shared" si="8"/>
        <v>Réduction pour les équipements techniques</v>
      </c>
      <c r="E517" s="402" t="s">
        <v>2952</v>
      </c>
      <c r="F517" s="2338" t="s">
        <v>3206</v>
      </c>
      <c r="G517" s="403" t="s">
        <v>3207</v>
      </c>
    </row>
    <row r="518" spans="1:7" ht="25.9" customHeight="1">
      <c r="A518" s="401">
        <v>515</v>
      </c>
      <c r="B518" s="929" t="s">
        <v>2969</v>
      </c>
      <c r="C518" s="929" t="s">
        <v>2999</v>
      </c>
      <c r="D518" s="899" t="str">
        <f t="shared" si="8"/>
        <v>Besoin calculé pour l'éclairage des bâtiments du tertiaire</v>
      </c>
      <c r="E518" s="402" t="s">
        <v>2953</v>
      </c>
      <c r="F518" s="2338" t="s">
        <v>3208</v>
      </c>
      <c r="G518" s="403" t="s">
        <v>3209</v>
      </c>
    </row>
    <row r="519" spans="1:7" ht="25.9" customHeight="1">
      <c r="A519" s="401">
        <v>516</v>
      </c>
      <c r="B519" s="929" t="s">
        <v>2969</v>
      </c>
      <c r="C519" s="929" t="s">
        <v>3000</v>
      </c>
      <c r="D519" s="899" t="str">
        <f t="shared" si="8"/>
        <v>Besoin calculé pour les appareils des bâtiments du tertiaire</v>
      </c>
      <c r="E519" s="402" t="s">
        <v>2954</v>
      </c>
      <c r="F519" s="2338" t="s">
        <v>3210</v>
      </c>
      <c r="G519" s="403" t="s">
        <v>3211</v>
      </c>
    </row>
    <row r="520" spans="1:7" ht="25.9" customHeight="1">
      <c r="A520" s="401">
        <v>517</v>
      </c>
      <c r="B520" s="929" t="s">
        <v>2969</v>
      </c>
      <c r="C520" s="929" t="s">
        <v>3001</v>
      </c>
      <c r="D520" s="899" t="str">
        <f t="shared" si="8"/>
        <v>Besoin calculé pour l'équipement commun des bâtiments du tertiaire</v>
      </c>
      <c r="E520" s="402" t="s">
        <v>2955</v>
      </c>
      <c r="F520" s="2338" t="s">
        <v>3212</v>
      </c>
      <c r="G520" s="403" t="s">
        <v>3213</v>
      </c>
    </row>
    <row r="521" spans="1:7" ht="25.9" customHeight="1">
      <c r="A521" s="401">
        <v>518</v>
      </c>
      <c r="B521" s="929" t="s">
        <v>313</v>
      </c>
      <c r="C521" s="929" t="s">
        <v>549</v>
      </c>
      <c r="D521" s="899" t="str">
        <f t="shared" si="8"/>
        <v>-Récupération de la chaleur des eaux usées en%</v>
      </c>
      <c r="E521" s="402" t="s">
        <v>3028</v>
      </c>
      <c r="F521" s="1394" t="s">
        <v>3936</v>
      </c>
      <c r="G521" s="403" t="s">
        <v>3214</v>
      </c>
    </row>
    <row r="522" spans="1:7" ht="25.9" customHeight="1">
      <c r="A522" s="401">
        <v>519</v>
      </c>
      <c r="B522" s="929" t="s">
        <v>313</v>
      </c>
      <c r="C522" s="929" t="s">
        <v>1762</v>
      </c>
      <c r="D522" s="899" t="str">
        <f t="shared" si="8"/>
        <v>Hauteur du bâtiment</v>
      </c>
      <c r="E522" s="402" t="s">
        <v>3080</v>
      </c>
      <c r="F522" s="2338" t="s">
        <v>3215</v>
      </c>
      <c r="G522" s="403" t="s">
        <v>3216</v>
      </c>
    </row>
    <row r="523" spans="1:7" ht="25.9" customHeight="1">
      <c r="A523" s="401">
        <v>520</v>
      </c>
      <c r="B523" s="929" t="s">
        <v>622</v>
      </c>
      <c r="C523" s="929" t="s">
        <v>3086</v>
      </c>
      <c r="D523" s="899" t="str">
        <f t="shared" si="8"/>
        <v>Pompe à chaleur à gaz, chauffage</v>
      </c>
      <c r="E523" s="402" t="s">
        <v>3082</v>
      </c>
      <c r="F523" s="2338" t="s">
        <v>3217</v>
      </c>
      <c r="G523" s="403" t="s">
        <v>3218</v>
      </c>
    </row>
    <row r="524" spans="1:7" ht="25.9" customHeight="1">
      <c r="A524" s="401">
        <v>521</v>
      </c>
      <c r="B524" s="929" t="s">
        <v>622</v>
      </c>
      <c r="C524" s="929" t="s">
        <v>3087</v>
      </c>
      <c r="D524" s="899" t="str">
        <f t="shared" si="8"/>
        <v>Pompe à chaleur à gaz, eau chaude</v>
      </c>
      <c r="E524" s="402" t="s">
        <v>3083</v>
      </c>
      <c r="F524" s="2338" t="s">
        <v>3219</v>
      </c>
      <c r="G524" s="403" t="s">
        <v>3220</v>
      </c>
    </row>
    <row r="525" spans="1:7" ht="25.9" customHeight="1">
      <c r="A525" s="401">
        <v>522</v>
      </c>
      <c r="B525" s="929" t="s">
        <v>622</v>
      </c>
      <c r="C525" s="929" t="s">
        <v>3088</v>
      </c>
      <c r="D525" s="899" t="str">
        <f t="shared" si="8"/>
        <v>Pompe à chaleur à gaz, seul. chauffage</v>
      </c>
      <c r="E525" s="402" t="s">
        <v>3084</v>
      </c>
      <c r="F525" s="2338" t="s">
        <v>3221</v>
      </c>
      <c r="G525" s="403" t="s">
        <v>3222</v>
      </c>
    </row>
    <row r="526" spans="1:7" ht="25.9" customHeight="1">
      <c r="A526" s="401">
        <v>523</v>
      </c>
      <c r="B526" s="929" t="s">
        <v>622</v>
      </c>
      <c r="C526" s="929" t="s">
        <v>3089</v>
      </c>
      <c r="D526" s="899" t="str">
        <f t="shared" si="8"/>
        <v>Pompe à chaleur à gaz, seul. eau chaude</v>
      </c>
      <c r="E526" s="402" t="s">
        <v>3085</v>
      </c>
      <c r="F526" s="2338" t="s">
        <v>3223</v>
      </c>
      <c r="G526" s="403" t="s">
        <v>3224</v>
      </c>
    </row>
    <row r="527" spans="1:7" ht="25.9" customHeight="1">
      <c r="A527" s="401">
        <v>524</v>
      </c>
      <c r="B527" s="929" t="s">
        <v>53</v>
      </c>
      <c r="C527" s="929" t="s">
        <v>3099</v>
      </c>
      <c r="D527" s="899" t="str">
        <f t="shared" si="8"/>
        <v>Vérifier les unités !</v>
      </c>
      <c r="E527" s="402" t="s">
        <v>3098</v>
      </c>
      <c r="F527" s="2338" t="s">
        <v>3225</v>
      </c>
      <c r="G527" s="403" t="s">
        <v>3226</v>
      </c>
    </row>
    <row r="528" spans="1:7" ht="25.9" customHeight="1">
      <c r="A528" s="401">
        <v>525</v>
      </c>
      <c r="B528" s="929" t="s">
        <v>313</v>
      </c>
      <c r="C528" s="929" t="s">
        <v>853</v>
      </c>
      <c r="D528" s="899" t="str">
        <f t="shared" si="8"/>
        <v>Justificatif des besoins pour l'éclairage est disponible</v>
      </c>
      <c r="E528" s="402" t="s">
        <v>3123</v>
      </c>
      <c r="F528" s="2338" t="s">
        <v>3227</v>
      </c>
      <c r="G528" s="403" t="s">
        <v>3228</v>
      </c>
    </row>
    <row r="529" spans="1:7" ht="25.9" customHeight="1">
      <c r="A529" s="401">
        <v>526</v>
      </c>
      <c r="B529" s="929" t="s">
        <v>622</v>
      </c>
      <c r="C529" s="929" t="s">
        <v>1809</v>
      </c>
      <c r="D529" s="899" t="str">
        <f t="shared" si="8"/>
        <v xml:space="preserve">Un concept d'étanchéité est-il joint ? </v>
      </c>
      <c r="E529" s="402" t="s">
        <v>3156</v>
      </c>
      <c r="F529" s="2338" t="s">
        <v>3229</v>
      </c>
      <c r="G529" s="403" t="s">
        <v>3230</v>
      </c>
    </row>
    <row r="530" spans="1:7" ht="25.9" customHeight="1">
      <c r="A530" s="401">
        <v>527</v>
      </c>
      <c r="B530" s="929" t="s">
        <v>1749</v>
      </c>
      <c r="C530" s="929" t="s">
        <v>549</v>
      </c>
      <c r="D530" s="899" t="str">
        <f t="shared" si="8"/>
        <v>Habitat (individuel, collectif), pièce jusqu'à 2 façades, plafond en béton apparent (&gt;80% libre)</v>
      </c>
      <c r="E530" s="402" t="s">
        <v>3270</v>
      </c>
      <c r="F530" s="2338" t="s">
        <v>3461</v>
      </c>
      <c r="G530" s="403" t="s">
        <v>3462</v>
      </c>
    </row>
    <row r="531" spans="1:7" ht="25.9" customHeight="1">
      <c r="A531" s="401">
        <v>528</v>
      </c>
      <c r="B531" s="929" t="s">
        <v>1749</v>
      </c>
      <c r="C531" s="929" t="s">
        <v>1758</v>
      </c>
      <c r="D531" s="899" t="str">
        <f t="shared" si="8"/>
        <v>- Indice de vitrage maximal</v>
      </c>
      <c r="E531" s="402" t="s">
        <v>3271</v>
      </c>
      <c r="F531" s="2338" t="s">
        <v>3463</v>
      </c>
      <c r="G531" s="403" t="s">
        <v>3464</v>
      </c>
    </row>
    <row r="532" spans="1:7" ht="25.9" customHeight="1">
      <c r="A532" s="401">
        <v>529</v>
      </c>
      <c r="B532" s="929" t="s">
        <v>1749</v>
      </c>
      <c r="C532" s="929" t="s">
        <v>550</v>
      </c>
      <c r="D532" s="899" t="str">
        <f t="shared" si="8"/>
        <v>Habitat (individuel, collectif), pièce jusqu'à 2 façades, plafond en bois et chape ciment min. 6 cm ou anhydrite min. 5 cm d'épais</v>
      </c>
      <c r="E532" s="402" t="s">
        <v>3272</v>
      </c>
      <c r="F532" s="2338" t="s">
        <v>3465</v>
      </c>
      <c r="G532" s="403" t="s">
        <v>3466</v>
      </c>
    </row>
    <row r="533" spans="1:7" ht="25.9" customHeight="1">
      <c r="A533" s="401">
        <v>530</v>
      </c>
      <c r="B533" s="929" t="s">
        <v>1749</v>
      </c>
      <c r="C533" s="929" t="s">
        <v>496</v>
      </c>
      <c r="D533" s="899" t="str">
        <f t="shared" si="8"/>
        <v>Habitat (ind., coll.), pièce avec 1 façade, plafond en béton apparent (&gt;80% libre), orientation SSE-SSO et ombrage par balcon de min. 1 m de profondeur</v>
      </c>
      <c r="E533" s="402" t="s">
        <v>3325</v>
      </c>
      <c r="F533" s="2338" t="s">
        <v>3467</v>
      </c>
      <c r="G533" s="403" t="s">
        <v>3468</v>
      </c>
    </row>
    <row r="534" spans="1:7" ht="25.9" customHeight="1">
      <c r="A534" s="401">
        <v>531</v>
      </c>
      <c r="B534" s="929" t="s">
        <v>1749</v>
      </c>
      <c r="C534" s="929" t="s">
        <v>865</v>
      </c>
      <c r="D534" s="899" t="str">
        <f t="shared" si="8"/>
        <v>Plafond en béton apparent (&gt;40% libre) et commande automatique de la protection solaire. Valeur g vitrage ≤ 30%</v>
      </c>
      <c r="E534" s="402" t="s">
        <v>3273</v>
      </c>
      <c r="F534" s="2338" t="s">
        <v>3469</v>
      </c>
      <c r="G534" s="403" t="s">
        <v>3470</v>
      </c>
    </row>
    <row r="535" spans="1:7" ht="25.9" customHeight="1">
      <c r="A535" s="401">
        <v>532</v>
      </c>
      <c r="B535" s="929" t="s">
        <v>1749</v>
      </c>
      <c r="C535" s="929" t="s">
        <v>870</v>
      </c>
      <c r="D535" s="899" t="str">
        <f t="shared" si="8"/>
        <v>Variante 2 : Justificatif externe des critères selon SIA 382/1 et SIA 180 (sans refroidissement)</v>
      </c>
      <c r="E535" s="402" t="s">
        <v>3274</v>
      </c>
      <c r="F535" s="2338" t="s">
        <v>3471</v>
      </c>
      <c r="G535" s="403" t="s">
        <v>3472</v>
      </c>
    </row>
    <row r="536" spans="1:7" ht="42" customHeight="1">
      <c r="A536" s="401">
        <v>533</v>
      </c>
      <c r="B536" s="929" t="s">
        <v>1749</v>
      </c>
      <c r="C536" s="929" t="s">
        <v>98</v>
      </c>
      <c r="D536" s="899" t="str">
        <f t="shared" si="8"/>
        <v>Exigences constructives de la protection thermique estivale selon le justificatif pour la protection thermique estivale, Variante 2, remplies?</v>
      </c>
      <c r="E536" s="402" t="s">
        <v>3435</v>
      </c>
      <c r="F536" s="2338" t="s">
        <v>3473</v>
      </c>
      <c r="G536" s="403" t="s">
        <v>3474</v>
      </c>
    </row>
    <row r="537" spans="1:7" ht="25.9" customHeight="1">
      <c r="A537" s="401">
        <v>534</v>
      </c>
      <c r="B537" s="929" t="s">
        <v>1749</v>
      </c>
      <c r="C537" s="929" t="s">
        <v>849</v>
      </c>
      <c r="D537" s="899" t="str">
        <f t="shared" si="8"/>
        <v>- Pas d'ouverture zénithale</v>
      </c>
      <c r="E537" s="402" t="s">
        <v>3275</v>
      </c>
      <c r="F537" s="2338" t="s">
        <v>3475</v>
      </c>
      <c r="G537" s="403" t="s">
        <v>3476</v>
      </c>
    </row>
    <row r="538" spans="1:7" ht="25.9" customHeight="1">
      <c r="A538" s="401">
        <v>535</v>
      </c>
      <c r="B538" s="929" t="s">
        <v>1749</v>
      </c>
      <c r="C538" s="929" t="s">
        <v>466</v>
      </c>
      <c r="D538" s="899" t="str">
        <f t="shared" si="8"/>
        <v>- Protection solaire extérieure mobile avec stores à rouleau ou à lamellles (valeur g-total max. 0.1)</v>
      </c>
      <c r="E538" s="402" t="s">
        <v>3276</v>
      </c>
      <c r="F538" s="2338" t="s">
        <v>3477</v>
      </c>
      <c r="G538" s="403" t="s">
        <v>3478</v>
      </c>
    </row>
    <row r="539" spans="1:7" ht="25.9" customHeight="1">
      <c r="A539" s="401">
        <v>536</v>
      </c>
      <c r="B539" s="929" t="s">
        <v>1749</v>
      </c>
      <c r="C539" s="929" t="s">
        <v>852</v>
      </c>
      <c r="D539" s="899" t="str">
        <f t="shared" si="8"/>
        <v>- Rafraîchis. nocturne par les fen. possible (précision : la protect. contre l'effraction n'est en général pas contrôlée dans le cadre de la certif. Minergie)</v>
      </c>
      <c r="E539" s="402" t="s">
        <v>3277</v>
      </c>
      <c r="F539" s="2338" t="s">
        <v>3479</v>
      </c>
      <c r="G539" s="403" t="s">
        <v>3480</v>
      </c>
    </row>
    <row r="540" spans="1:7" ht="25.9" customHeight="1">
      <c r="A540" s="401">
        <v>537</v>
      </c>
      <c r="B540" s="929" t="s">
        <v>1749</v>
      </c>
      <c r="C540" s="929" t="s">
        <v>853</v>
      </c>
      <c r="D540" s="899" t="str">
        <f t="shared" si="8"/>
        <v>- Les charges internes ne sont pas plus élevées que la valeur standart du cahier technique SIA 2024</v>
      </c>
      <c r="E540" s="402" t="s">
        <v>3278</v>
      </c>
      <c r="F540" s="2338" t="s">
        <v>3481</v>
      </c>
      <c r="G540" s="403" t="s">
        <v>3482</v>
      </c>
    </row>
    <row r="541" spans="1:7" ht="25.9" customHeight="1">
      <c r="A541" s="401">
        <v>538</v>
      </c>
      <c r="B541" s="929" t="s">
        <v>1749</v>
      </c>
      <c r="C541" s="929" t="s">
        <v>1795</v>
      </c>
      <c r="D541" s="899" t="str">
        <f t="shared" si="8"/>
        <v>Exigences des critères de confort selon le justificatif pour la protection thermique estivale remplies?</v>
      </c>
      <c r="E541" s="402" t="s">
        <v>3436</v>
      </c>
      <c r="F541" s="2338" t="s">
        <v>3483</v>
      </c>
      <c r="G541" s="403" t="s">
        <v>3484</v>
      </c>
    </row>
    <row r="542" spans="1:7" ht="25.9" customHeight="1">
      <c r="A542" s="401">
        <v>539</v>
      </c>
      <c r="B542" s="929" t="s">
        <v>1749</v>
      </c>
      <c r="C542" s="929" t="s">
        <v>3280</v>
      </c>
      <c r="D542" s="899" t="str">
        <f t="shared" si="8"/>
        <v>Admissible jusqu'à nouvel ordre</v>
      </c>
      <c r="E542" s="402" t="s">
        <v>3279</v>
      </c>
      <c r="F542" s="2338" t="s">
        <v>3485</v>
      </c>
      <c r="G542" s="403" t="s">
        <v>3486</v>
      </c>
    </row>
    <row r="543" spans="1:7" ht="25.9" customHeight="1">
      <c r="A543" s="401">
        <v>540</v>
      </c>
      <c r="B543" s="929" t="s">
        <v>622</v>
      </c>
      <c r="C543" s="929" t="s">
        <v>3371</v>
      </c>
      <c r="D543" s="1723" t="str">
        <f t="shared" si="8"/>
        <v>Mobilité électrique</v>
      </c>
      <c r="E543" s="402" t="s">
        <v>3372</v>
      </c>
      <c r="F543" s="2338" t="s">
        <v>3487</v>
      </c>
      <c r="G543" s="403" t="s">
        <v>3488</v>
      </c>
    </row>
    <row r="544" spans="1:7" ht="25.9" customHeight="1">
      <c r="A544" s="401">
        <v>541</v>
      </c>
      <c r="B544" s="929" t="s">
        <v>622</v>
      </c>
      <c r="C544" s="929" t="s">
        <v>3373</v>
      </c>
      <c r="D544" s="1723" t="str">
        <f t="shared" si="8"/>
        <v>Le niveau d’installation A sera-t-elle mis en œuvre conformément à la SIA 2060?</v>
      </c>
      <c r="E544" s="402" t="s">
        <v>3918</v>
      </c>
      <c r="F544" s="2338" t="s">
        <v>3952</v>
      </c>
      <c r="G544" s="403" t="s">
        <v>3955</v>
      </c>
    </row>
    <row r="545" spans="1:7" ht="25.9" customHeight="1">
      <c r="A545" s="401">
        <v>542</v>
      </c>
      <c r="B545" s="929" t="s">
        <v>1799</v>
      </c>
      <c r="C545" s="929" t="s">
        <v>3409</v>
      </c>
      <c r="D545" s="1723" t="str">
        <f t="shared" si="8"/>
        <v>MKZ,H : indice Minergie partiel chauffage</v>
      </c>
      <c r="E545" s="402" t="s">
        <v>3399</v>
      </c>
      <c r="F545" s="2338" t="s">
        <v>3489</v>
      </c>
      <c r="G545" s="403" t="s">
        <v>3490</v>
      </c>
    </row>
    <row r="546" spans="1:7" ht="25.9" customHeight="1">
      <c r="A546" s="401">
        <v>543</v>
      </c>
      <c r="B546" s="929" t="s">
        <v>1799</v>
      </c>
      <c r="C546" s="929" t="s">
        <v>3410</v>
      </c>
      <c r="D546" s="1723" t="str">
        <f t="shared" si="8"/>
        <v>MKZ,ww : indice Minergie partiel eau chaude</v>
      </c>
      <c r="E546" s="402" t="s">
        <v>3400</v>
      </c>
      <c r="F546" s="2338" t="s">
        <v>3491</v>
      </c>
      <c r="G546" s="403" t="s">
        <v>3492</v>
      </c>
    </row>
    <row r="547" spans="1:7" ht="25.9" customHeight="1">
      <c r="A547" s="401">
        <v>544</v>
      </c>
      <c r="B547" s="929" t="s">
        <v>1799</v>
      </c>
      <c r="C547" s="929" t="s">
        <v>3411</v>
      </c>
      <c r="D547" s="1723" t="str">
        <f t="shared" si="8"/>
        <v>MKZ,LK : indice Minergie partiel aération et climat</v>
      </c>
      <c r="E547" s="402" t="s">
        <v>3401</v>
      </c>
      <c r="F547" s="2338" t="s">
        <v>3493</v>
      </c>
      <c r="G547" s="403" t="s">
        <v>3494</v>
      </c>
    </row>
    <row r="548" spans="1:7" ht="25.9" customHeight="1">
      <c r="A548" s="401">
        <v>545</v>
      </c>
      <c r="B548" s="929" t="s">
        <v>1799</v>
      </c>
      <c r="C548" s="929" t="s">
        <v>3412</v>
      </c>
      <c r="D548" s="1723" t="str">
        <f t="shared" si="8"/>
        <v>MKZ,el,wohn : indice Minergie partiel électricité bâtiments d'habitation</v>
      </c>
      <c r="E548" s="402" t="s">
        <v>3402</v>
      </c>
      <c r="F548" s="2338" t="s">
        <v>3495</v>
      </c>
      <c r="G548" s="403" t="s">
        <v>3496</v>
      </c>
    </row>
    <row r="549" spans="1:7" ht="25.9" customHeight="1">
      <c r="A549" s="401">
        <v>546</v>
      </c>
      <c r="B549" s="929" t="s">
        <v>1799</v>
      </c>
      <c r="C549" s="929" t="s">
        <v>3413</v>
      </c>
      <c r="D549" s="1723" t="str">
        <f t="shared" si="8"/>
        <v>MKZ,Bel : indice Minergie partiel éclairage</v>
      </c>
      <c r="E549" s="402" t="s">
        <v>3403</v>
      </c>
      <c r="F549" s="2338" t="s">
        <v>3497</v>
      </c>
      <c r="G549" s="403" t="s">
        <v>3498</v>
      </c>
    </row>
    <row r="550" spans="1:7" ht="25.9" customHeight="1">
      <c r="A550" s="401">
        <v>547</v>
      </c>
      <c r="B550" s="929" t="s">
        <v>1799</v>
      </c>
      <c r="C550" s="929" t="s">
        <v>3414</v>
      </c>
      <c r="D550" s="1723" t="str">
        <f t="shared" si="8"/>
        <v>MKZ,Geräte : indice Minergie partiel appareils</v>
      </c>
      <c r="E550" s="402" t="s">
        <v>3404</v>
      </c>
      <c r="F550" s="2338" t="s">
        <v>3499</v>
      </c>
      <c r="G550" s="403" t="s">
        <v>3500</v>
      </c>
    </row>
    <row r="551" spans="1:7" ht="25.9" customHeight="1">
      <c r="A551" s="401">
        <v>548</v>
      </c>
      <c r="B551" s="929" t="s">
        <v>1799</v>
      </c>
      <c r="C551" s="929" t="s">
        <v>3415</v>
      </c>
      <c r="D551" s="1723" t="str">
        <f t="shared" si="8"/>
        <v>MKZ,AGT : indice Minergie partiel installations techniques</v>
      </c>
      <c r="E551" s="402" t="s">
        <v>3405</v>
      </c>
      <c r="F551" s="2338" t="s">
        <v>3501</v>
      </c>
      <c r="G551" s="403" t="s">
        <v>3502</v>
      </c>
    </row>
    <row r="552" spans="1:7" ht="25.9" customHeight="1">
      <c r="A552" s="401">
        <v>549</v>
      </c>
      <c r="B552" s="929" t="s">
        <v>1799</v>
      </c>
      <c r="C552" s="929" t="s">
        <v>3416</v>
      </c>
      <c r="D552" s="1723" t="str">
        <f t="shared" si="8"/>
        <v>E,EB : Autoconsommation du courant PV autoproduit</v>
      </c>
      <c r="E552" s="402" t="s">
        <v>3406</v>
      </c>
      <c r="F552" s="2338" t="s">
        <v>3503</v>
      </c>
      <c r="G552" s="403" t="s">
        <v>3504</v>
      </c>
    </row>
    <row r="553" spans="1:7" ht="25.9" customHeight="1">
      <c r="A553" s="401">
        <v>550</v>
      </c>
      <c r="B553" s="929" t="s">
        <v>1799</v>
      </c>
      <c r="C553" s="929" t="s">
        <v>3417</v>
      </c>
      <c r="D553" s="1723" t="str">
        <f t="shared" si="8"/>
        <v>E,Netz : Courant PV autoproduit injecté dans le réseau</v>
      </c>
      <c r="E553" s="402" t="s">
        <v>3407</v>
      </c>
      <c r="F553" s="2338" t="s">
        <v>3505</v>
      </c>
      <c r="G553" s="403" t="s">
        <v>3506</v>
      </c>
    </row>
    <row r="554" spans="1:7" ht="25.9" customHeight="1">
      <c r="A554" s="401">
        <v>551</v>
      </c>
      <c r="B554" s="929" t="s">
        <v>1799</v>
      </c>
      <c r="C554" s="929" t="s">
        <v>3418</v>
      </c>
      <c r="D554" s="1723" t="str">
        <f t="shared" si="8"/>
        <v>MKZ : indice Minergie</v>
      </c>
      <c r="E554" s="402" t="s">
        <v>3408</v>
      </c>
      <c r="F554" s="2338" t="s">
        <v>3507</v>
      </c>
      <c r="G554" s="403" t="s">
        <v>3508</v>
      </c>
    </row>
    <row r="555" spans="1:7" ht="25.9" customHeight="1">
      <c r="A555" s="401">
        <v>552</v>
      </c>
      <c r="B555" s="929" t="s">
        <v>1749</v>
      </c>
      <c r="C555" s="929" t="s">
        <v>3437</v>
      </c>
      <c r="D555" s="1723" t="str">
        <f t="shared" si="8"/>
        <v xml:space="preserve">Précision : Si non, la possibilité d'aération par les fenêtres doit quand même être remplie </v>
      </c>
      <c r="E555" s="402" t="s">
        <v>3434</v>
      </c>
      <c r="F555" s="2338" t="s">
        <v>3509</v>
      </c>
      <c r="G555" s="403" t="s">
        <v>3510</v>
      </c>
    </row>
    <row r="556" spans="1:7" ht="25.9" customHeight="1">
      <c r="A556" s="401">
        <v>553</v>
      </c>
      <c r="B556" s="929" t="s">
        <v>1749</v>
      </c>
      <c r="C556" s="929" t="s">
        <v>879</v>
      </c>
      <c r="D556" s="1723" t="str">
        <f t="shared" si="8"/>
        <v>Variante 3 : Justificatif externe des critères selon SIA 180 et SIA 382/1 (avec refroidissement)</v>
      </c>
      <c r="E556" s="402" t="s">
        <v>3511</v>
      </c>
      <c r="F556" s="2338" t="s">
        <v>3512</v>
      </c>
      <c r="G556" s="403" t="s">
        <v>4969</v>
      </c>
    </row>
    <row r="557" spans="1:7" ht="63" customHeight="1">
      <c r="A557" s="401">
        <v>554</v>
      </c>
      <c r="B557" s="929" t="s">
        <v>1749</v>
      </c>
      <c r="C557" s="929" t="s">
        <v>1770</v>
      </c>
      <c r="D557" s="1723"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402" t="s">
        <v>3623</v>
      </c>
      <c r="F557" s="2338" t="s">
        <v>3513</v>
      </c>
      <c r="G557" s="403" t="s">
        <v>3624</v>
      </c>
    </row>
    <row r="558" spans="1:7" ht="25.9" customHeight="1">
      <c r="A558" s="401">
        <v>555</v>
      </c>
      <c r="B558" s="929" t="s">
        <v>1749</v>
      </c>
      <c r="C558" s="929" t="s">
        <v>853</v>
      </c>
      <c r="D558" s="1723" t="str">
        <f t="shared" si="8"/>
        <v>- Résistance au vent des protections solaires extérieures mobiles d'au moins classe 5</v>
      </c>
      <c r="E558" s="429" t="s">
        <v>3444</v>
      </c>
      <c r="F558" s="2338" t="s">
        <v>3514</v>
      </c>
      <c r="G558" s="403" t="s">
        <v>3515</v>
      </c>
    </row>
    <row r="559" spans="1:7" ht="25.9" customHeight="1">
      <c r="A559" s="401">
        <v>556</v>
      </c>
      <c r="B559" s="929" t="s">
        <v>622</v>
      </c>
      <c r="C559" s="929" t="s">
        <v>3538</v>
      </c>
      <c r="D559" s="1723" t="str">
        <f t="shared" si="8"/>
        <v>Minergie avec SIA 380/1:2016</v>
      </c>
      <c r="E559" s="402" t="s">
        <v>3532</v>
      </c>
      <c r="F559" s="2338" t="s">
        <v>3544</v>
      </c>
      <c r="G559" s="403" t="s">
        <v>3550</v>
      </c>
    </row>
    <row r="560" spans="1:7" ht="25.9" customHeight="1">
      <c r="A560" s="401">
        <v>557</v>
      </c>
      <c r="B560" s="929" t="s">
        <v>622</v>
      </c>
      <c r="C560" s="929" t="s">
        <v>3539</v>
      </c>
      <c r="D560" s="1723" t="str">
        <f t="shared" si="8"/>
        <v>Minergie-P avec SIA 380/1:2016</v>
      </c>
      <c r="E560" s="402" t="s">
        <v>3533</v>
      </c>
      <c r="F560" s="2338" t="s">
        <v>3545</v>
      </c>
      <c r="G560" s="403" t="s">
        <v>3551</v>
      </c>
    </row>
    <row r="561" spans="1:7" ht="25.9" customHeight="1">
      <c r="A561" s="401">
        <v>558</v>
      </c>
      <c r="B561" s="929" t="s">
        <v>622</v>
      </c>
      <c r="C561" s="929" t="s">
        <v>3540</v>
      </c>
      <c r="D561" s="1723" t="str">
        <f t="shared" si="8"/>
        <v>Minergie-A avec SIA 380/1:2016</v>
      </c>
      <c r="E561" s="402" t="s">
        <v>3534</v>
      </c>
      <c r="F561" s="2338" t="s">
        <v>3546</v>
      </c>
      <c r="G561" s="403" t="s">
        <v>3552</v>
      </c>
    </row>
    <row r="562" spans="1:7" ht="25.9" customHeight="1">
      <c r="A562" s="401">
        <v>559</v>
      </c>
      <c r="B562" s="929" t="s">
        <v>622</v>
      </c>
      <c r="C562" s="929" t="s">
        <v>3541</v>
      </c>
      <c r="D562" s="1723" t="str">
        <f t="shared" si="8"/>
        <v>Minergie avec SIA 380/1:2009</v>
      </c>
      <c r="E562" s="402" t="s">
        <v>3535</v>
      </c>
      <c r="F562" s="2338" t="s">
        <v>3547</v>
      </c>
      <c r="G562" s="403" t="s">
        <v>3553</v>
      </c>
    </row>
    <row r="563" spans="1:7" ht="25.9" customHeight="1">
      <c r="A563" s="401">
        <v>560</v>
      </c>
      <c r="B563" s="929" t="s">
        <v>622</v>
      </c>
      <c r="C563" s="929" t="s">
        <v>3542</v>
      </c>
      <c r="D563" s="1723" t="str">
        <f t="shared" si="8"/>
        <v>Minergie-P avec SIA 380/1:2009</v>
      </c>
      <c r="E563" s="402" t="s">
        <v>3536</v>
      </c>
      <c r="F563" s="2338" t="s">
        <v>3548</v>
      </c>
      <c r="G563" s="403" t="s">
        <v>3554</v>
      </c>
    </row>
    <row r="564" spans="1:7" ht="25.9" customHeight="1">
      <c r="A564" s="401">
        <v>561</v>
      </c>
      <c r="B564" s="929" t="s">
        <v>622</v>
      </c>
      <c r="C564" s="929" t="s">
        <v>3543</v>
      </c>
      <c r="D564" s="1723" t="str">
        <f t="shared" si="8"/>
        <v>Minergie-A avec SIA 380/1:2009</v>
      </c>
      <c r="E564" s="402" t="s">
        <v>3537</v>
      </c>
      <c r="F564" s="2338" t="s">
        <v>3549</v>
      </c>
      <c r="G564" s="403" t="s">
        <v>3555</v>
      </c>
    </row>
    <row r="565" spans="1:7" ht="25.9" customHeight="1">
      <c r="A565" s="401">
        <v>562</v>
      </c>
      <c r="B565" s="929" t="s">
        <v>622</v>
      </c>
      <c r="C565" s="929" t="s">
        <v>3593</v>
      </c>
      <c r="D565" s="1723" t="str">
        <f t="shared" si="8"/>
        <v>Rejets thermiques  [kWh]</v>
      </c>
      <c r="E565" s="402" t="s">
        <v>3586</v>
      </c>
      <c r="F565" s="2338" t="s">
        <v>3591</v>
      </c>
      <c r="G565" s="403" t="s">
        <v>3592</v>
      </c>
    </row>
    <row r="566" spans="1:7" ht="25.9" customHeight="1">
      <c r="A566" s="401">
        <v>563</v>
      </c>
      <c r="B566" s="929" t="s">
        <v>622</v>
      </c>
      <c r="C566" s="929" t="s">
        <v>3596</v>
      </c>
      <c r="D566" s="1723" t="str">
        <f t="shared" si="8"/>
        <v>Températures des rejets thermique [°C]</v>
      </c>
      <c r="E566" s="402" t="s">
        <v>3584</v>
      </c>
      <c r="F566" s="2338" t="s">
        <v>3594</v>
      </c>
      <c r="G566" s="403" t="s">
        <v>3595</v>
      </c>
    </row>
    <row r="567" spans="1:7" ht="25.9" customHeight="1">
      <c r="A567" s="401">
        <v>564</v>
      </c>
      <c r="B567" s="929" t="s">
        <v>622</v>
      </c>
      <c r="C567" s="929" t="s">
        <v>3598</v>
      </c>
      <c r="D567" s="1723" t="str">
        <f t="shared" si="8"/>
        <v>Rendement de climatisation  (EER)</v>
      </c>
      <c r="E567" s="402" t="s">
        <v>3597</v>
      </c>
      <c r="F567" s="2338" t="s">
        <v>3599</v>
      </c>
      <c r="G567" s="403" t="s">
        <v>3600</v>
      </c>
    </row>
    <row r="568" spans="1:7" ht="25.9" customHeight="1">
      <c r="A568" s="401">
        <v>565</v>
      </c>
      <c r="B568" s="929" t="s">
        <v>706</v>
      </c>
      <c r="C568" s="929" t="s">
        <v>3815</v>
      </c>
      <c r="D568" s="1723" t="str">
        <f t="shared" si="8"/>
        <v>Electricité pour la climatisation manquante</v>
      </c>
      <c r="E568" s="402" t="s">
        <v>3814</v>
      </c>
      <c r="F568" s="2338" t="s">
        <v>3816</v>
      </c>
      <c r="G568" s="403" t="s">
        <v>3817</v>
      </c>
    </row>
    <row r="569" spans="1:7" ht="25.9" customHeight="1">
      <c r="A569" s="401">
        <v>566</v>
      </c>
      <c r="B569" s="929" t="s">
        <v>622</v>
      </c>
      <c r="C569" s="929" t="s">
        <v>3618</v>
      </c>
      <c r="D569" s="1723" t="str">
        <f t="shared" si="8"/>
        <v>Vent. de transfert d’air</v>
      </c>
      <c r="E569" s="402" t="s">
        <v>3616</v>
      </c>
      <c r="F569" s="2338" t="s">
        <v>3819</v>
      </c>
      <c r="G569" s="2230" t="s">
        <v>3821</v>
      </c>
    </row>
    <row r="570" spans="1:7" ht="25.9" customHeight="1">
      <c r="A570" s="401">
        <v>567</v>
      </c>
      <c r="B570" s="929" t="s">
        <v>622</v>
      </c>
      <c r="C570" s="929" t="s">
        <v>3619</v>
      </c>
      <c r="D570" s="1723" t="str">
        <f t="shared" si="8"/>
        <v>Vent. de base</v>
      </c>
      <c r="E570" s="402" t="s">
        <v>3617</v>
      </c>
      <c r="F570" s="2338" t="s">
        <v>3820</v>
      </c>
      <c r="G570" s="2230" t="s">
        <v>3822</v>
      </c>
    </row>
    <row r="571" spans="1:7" ht="25.9" customHeight="1">
      <c r="A571" s="401">
        <v>568</v>
      </c>
      <c r="B571" s="929" t="s">
        <v>622</v>
      </c>
      <c r="C571" s="929" t="s">
        <v>930</v>
      </c>
      <c r="D571" s="1723" t="str">
        <f t="shared" si="8"/>
        <v>Enthalpie</v>
      </c>
      <c r="E571" s="402" t="s">
        <v>3622</v>
      </c>
      <c r="F571" s="2338" t="s">
        <v>3818</v>
      </c>
      <c r="G571" s="2230" t="s">
        <v>4970</v>
      </c>
    </row>
    <row r="572" spans="1:7" ht="25.9" customHeight="1">
      <c r="A572" s="401">
        <v>569</v>
      </c>
      <c r="B572" s="929" t="s">
        <v>53</v>
      </c>
      <c r="C572" s="929" t="s">
        <v>3813</v>
      </c>
      <c r="D572" s="1723" t="str">
        <f t="shared" si="8"/>
        <v>&gt; 1'000 m3/h d'air reprise</v>
      </c>
      <c r="E572" s="402" t="s">
        <v>3810</v>
      </c>
      <c r="F572" s="2338" t="s">
        <v>3811</v>
      </c>
      <c r="G572" s="403" t="s">
        <v>3812</v>
      </c>
    </row>
    <row r="573" spans="1:7" ht="51" customHeight="1">
      <c r="A573" s="401">
        <v>570</v>
      </c>
      <c r="B573" s="929" t="s">
        <v>53</v>
      </c>
      <c r="C573" s="929" t="s">
        <v>3636</v>
      </c>
      <c r="D573" s="1723" t="str">
        <f t="shared" ref="D573:D603" si="9">INDEX($E$4:$G$604,$A573,$A$1)</f>
        <v>N° MOP: N° du projet sur la plateforme Minergie https://online.minergie.ch est attribué automatiquement à l'ouverture du projet (ex. 51234)</v>
      </c>
      <c r="E573" s="402" t="s">
        <v>3635</v>
      </c>
      <c r="F573" s="2338" t="s">
        <v>3633</v>
      </c>
      <c r="G573" s="403" t="s">
        <v>3634</v>
      </c>
    </row>
    <row r="574" spans="1:7" ht="25.9" customHeight="1">
      <c r="A574" s="401">
        <v>571</v>
      </c>
      <c r="B574" s="929" t="s">
        <v>313</v>
      </c>
      <c r="C574" s="929" t="s">
        <v>888</v>
      </c>
      <c r="D574" s="1723" t="str">
        <f t="shared" si="9"/>
        <v>Valeur calculée pour l'eau chaude sanitaire selon SIA 380/1</v>
      </c>
      <c r="E574" s="402" t="s">
        <v>3639</v>
      </c>
      <c r="F574" s="2338" t="s">
        <v>3638</v>
      </c>
      <c r="G574" s="403" t="s">
        <v>3637</v>
      </c>
    </row>
    <row r="575" spans="1:7" ht="25.9" customHeight="1">
      <c r="A575" s="401">
        <v>572</v>
      </c>
      <c r="B575" s="929" t="s">
        <v>313</v>
      </c>
      <c r="C575" s="929" t="s">
        <v>3640</v>
      </c>
      <c r="D575" s="1723" t="str">
        <f t="shared" si="9"/>
        <v>Donnée à saisir, au cas où l'eau chaude sanitaire serait justifiée d'après SIA 385.</v>
      </c>
      <c r="E575" s="402" t="s">
        <v>3642</v>
      </c>
      <c r="F575" s="2338" t="s">
        <v>3641</v>
      </c>
      <c r="G575" s="403" t="s">
        <v>3643</v>
      </c>
    </row>
    <row r="576" spans="1:7" ht="54" customHeight="1">
      <c r="A576" s="401">
        <v>573</v>
      </c>
      <c r="B576" s="929" t="s">
        <v>313</v>
      </c>
      <c r="C576" s="929" t="s">
        <v>886</v>
      </c>
      <c r="D576" s="1723" t="str">
        <f t="shared" si="9"/>
        <v>Donnée indiquant si une robinetterie à économie d'eau est installée ou non. Au besoin, l'Office de certification peut exiger la documentation (bulletin de livraison, type, etc.).</v>
      </c>
      <c r="E576" s="402" t="s">
        <v>3645</v>
      </c>
      <c r="F576" s="2338" t="s">
        <v>3644</v>
      </c>
      <c r="G576" s="403" t="s">
        <v>3646</v>
      </c>
    </row>
    <row r="577" spans="1:7" ht="51.75" customHeight="1">
      <c r="A577" s="401">
        <v>574</v>
      </c>
      <c r="B577" s="929" t="s">
        <v>313</v>
      </c>
      <c r="C577" s="929" t="s">
        <v>889</v>
      </c>
      <c r="D577" s="1723" t="str">
        <f t="shared" si="9"/>
        <v>Indication si un système est utilisé pour la récupération de chaleur issue des eaux usées. Il faut reporter la valeur totale en % de la RC basée sur la quantité totale d'eau chaude.</v>
      </c>
      <c r="E577" s="402" t="s">
        <v>3648</v>
      </c>
      <c r="F577" s="2338" t="s">
        <v>3647</v>
      </c>
      <c r="G577" s="403" t="s">
        <v>3649</v>
      </c>
    </row>
    <row r="578" spans="1:7" ht="42" customHeight="1">
      <c r="A578" s="401">
        <v>575</v>
      </c>
      <c r="B578" s="929" t="s">
        <v>313</v>
      </c>
      <c r="C578" s="929" t="s">
        <v>3650</v>
      </c>
      <c r="D578" s="1723" t="str">
        <f t="shared" si="9"/>
        <v>Nombre d'unités d’habitation : Donnée obligatoire pour les bâtiments d'habitation. Le terme « unité d’habitation » est défini au chapitre 6.1.4.</v>
      </c>
      <c r="E578" s="402" t="s">
        <v>3652</v>
      </c>
      <c r="F578" s="2338" t="s">
        <v>3651</v>
      </c>
      <c r="G578" s="403" t="s">
        <v>3653</v>
      </c>
    </row>
    <row r="579" spans="1:7" ht="51.75" customHeight="1">
      <c r="A579" s="401">
        <v>576</v>
      </c>
      <c r="B579" s="929" t="s">
        <v>313</v>
      </c>
      <c r="C579" s="929" t="s">
        <v>3657</v>
      </c>
      <c r="D579" s="1723" t="str">
        <f t="shared" si="9"/>
        <v>Appareils : Donnée indiquant si les appareils installés disposent de la classe d'efficacité exigée, au minimum. Au besoin, l'Office de certification peut exiger le justificatif.</v>
      </c>
      <c r="E579" s="402" t="s">
        <v>3655</v>
      </c>
      <c r="F579" s="2338" t="s">
        <v>3656</v>
      </c>
      <c r="G579" s="403" t="s">
        <v>3654</v>
      </c>
    </row>
    <row r="580" spans="1:7" ht="39.75" customHeight="1">
      <c r="A580" s="401">
        <v>577</v>
      </c>
      <c r="B580" s="929" t="s">
        <v>313</v>
      </c>
      <c r="C580" s="929" t="s">
        <v>3658</v>
      </c>
      <c r="D580" s="1723" t="str">
        <f t="shared" si="9"/>
        <v>Eclairage LED A++ &amp; régulation : Indication de l'utilisation ou non de l'éclairage général de la catégorie de rendement concernée.</v>
      </c>
      <c r="E580" s="402" t="s">
        <v>3660</v>
      </c>
      <c r="F580" s="2338" t="s">
        <v>3659</v>
      </c>
      <c r="G580" s="403" t="s">
        <v>3661</v>
      </c>
    </row>
    <row r="581" spans="1:7" ht="144" customHeight="1">
      <c r="A581" s="401">
        <v>578</v>
      </c>
      <c r="B581" s="929" t="s">
        <v>313</v>
      </c>
      <c r="C581" s="929" t="s">
        <v>3662</v>
      </c>
      <c r="D581" s="1723"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402" t="s">
        <v>3663</v>
      </c>
      <c r="F581" s="2338" t="s">
        <v>3664</v>
      </c>
      <c r="G581" s="403" t="s">
        <v>4971</v>
      </c>
    </row>
    <row r="582" spans="1:7" ht="36" customHeight="1">
      <c r="A582" s="401">
        <v>579</v>
      </c>
      <c r="B582" s="929" t="s">
        <v>313</v>
      </c>
      <c r="C582" s="929" t="s">
        <v>3665</v>
      </c>
      <c r="D582" s="1723" t="str">
        <f t="shared" si="9"/>
        <v>Éclairage : rénovation complète ? Donnée indiquant s'il s'agit d'une rénovation complète.</v>
      </c>
      <c r="E582" s="402" t="s">
        <v>3666</v>
      </c>
      <c r="F582" s="2338" t="s">
        <v>3667</v>
      </c>
      <c r="G582" s="403" t="s">
        <v>3668</v>
      </c>
    </row>
    <row r="583" spans="1:7" ht="66" customHeight="1">
      <c r="A583" s="401">
        <v>580</v>
      </c>
      <c r="B583" s="929" t="s">
        <v>313</v>
      </c>
      <c r="C583" s="929" t="s">
        <v>882</v>
      </c>
      <c r="D583" s="1723"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402" t="s">
        <v>3669</v>
      </c>
      <c r="F583" s="2338" t="s">
        <v>3670</v>
      </c>
      <c r="G583" s="403" t="s">
        <v>3671</v>
      </c>
    </row>
    <row r="584" spans="1:7" ht="75.75" customHeight="1">
      <c r="A584" s="401">
        <v>581</v>
      </c>
      <c r="B584" s="929" t="s">
        <v>313</v>
      </c>
      <c r="C584" s="929" t="s">
        <v>883</v>
      </c>
      <c r="D584" s="1723"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402" t="s">
        <v>3672</v>
      </c>
      <c r="F584" s="2338" t="s">
        <v>3673</v>
      </c>
      <c r="G584" s="403" t="s">
        <v>4972</v>
      </c>
    </row>
    <row r="585" spans="1:7" ht="62.25" customHeight="1">
      <c r="A585" s="401">
        <v>582</v>
      </c>
      <c r="B585" s="929" t="s">
        <v>313</v>
      </c>
      <c r="C585" s="929" t="s">
        <v>3674</v>
      </c>
      <c r="D585" s="1723"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402" t="s">
        <v>3676</v>
      </c>
      <c r="F585" s="2338" t="s">
        <v>3677</v>
      </c>
      <c r="G585" s="403" t="s">
        <v>3678</v>
      </c>
    </row>
    <row r="586" spans="1:7" ht="51.75" customHeight="1">
      <c r="A586" s="401">
        <v>583</v>
      </c>
      <c r="B586" s="929" t="s">
        <v>313</v>
      </c>
      <c r="C586" s="929" t="s">
        <v>3688</v>
      </c>
      <c r="D586" s="1723" t="str">
        <f t="shared" si="9"/>
        <v>Éclairage : Il faut reporter la valeur moyenne (non pondérée) de l'outil de calcul selon SIA 387/4. Obligatoire pour les bâtiments du tertiaire &gt;250m2, autorisé pour les bâtiments du tertiaire &lt;250m2.</v>
      </c>
      <c r="E586" s="402" t="s">
        <v>3679</v>
      </c>
      <c r="F586" s="2338" t="s">
        <v>3680</v>
      </c>
      <c r="G586" s="403" t="s">
        <v>4973</v>
      </c>
    </row>
    <row r="587" spans="1:7" ht="50.25" customHeight="1">
      <c r="A587" s="401">
        <v>584</v>
      </c>
      <c r="B587" s="929" t="s">
        <v>313</v>
      </c>
      <c r="C587" s="929" t="s">
        <v>3689</v>
      </c>
      <c r="D587" s="1723" t="str">
        <f t="shared" si="9"/>
        <v xml:space="preserve">Éclairage : Il faut reporter la valeur de projet (non pondérée) de l'outil de calcul selon SIA 387/4. Obligatoire pour les bâtiments du tertiaire &gt;250m2, autorisé pour les bâtiments du tertiaire &lt;250m2. </v>
      </c>
      <c r="E587" s="402" t="s">
        <v>3682</v>
      </c>
      <c r="F587" s="2338" t="s">
        <v>3683</v>
      </c>
      <c r="G587" s="403" t="s">
        <v>3684</v>
      </c>
    </row>
    <row r="588" spans="1:7" ht="25.9" customHeight="1">
      <c r="A588" s="401">
        <v>585</v>
      </c>
      <c r="B588" s="929" t="s">
        <v>313</v>
      </c>
      <c r="C588" s="929" t="s">
        <v>3681</v>
      </c>
      <c r="D588" s="1723" t="str">
        <f t="shared" si="9"/>
        <v>Exigence éclairage respectée ? Champ rempli automatiquement.</v>
      </c>
      <c r="E588" s="402" t="s">
        <v>3685</v>
      </c>
      <c r="F588" s="2338" t="s">
        <v>3686</v>
      </c>
      <c r="G588" s="403" t="s">
        <v>3687</v>
      </c>
    </row>
    <row r="589" spans="1:7" ht="62.25" customHeight="1">
      <c r="A589" s="401">
        <v>586</v>
      </c>
      <c r="B589" s="929" t="s">
        <v>313</v>
      </c>
      <c r="C589" s="929" t="s">
        <v>3690</v>
      </c>
      <c r="D589" s="1723" t="str">
        <f t="shared" si="9"/>
        <v>Rendement annuel spécifique : À reporter de PVopti : (cellule M38, Onglet « Résultats »), resp. de PVGis. Si aucune donnée n'est saisie, le calcul est effectué sur la base de la valeur par défaut (800 kWh/kWp).</v>
      </c>
      <c r="E589" s="402" t="s">
        <v>3692</v>
      </c>
      <c r="F589" s="2338" t="s">
        <v>3693</v>
      </c>
      <c r="G589" s="403" t="s">
        <v>3694</v>
      </c>
    </row>
    <row r="590" spans="1:7" ht="66" customHeight="1">
      <c r="A590" s="401">
        <v>587</v>
      </c>
      <c r="B590" s="929" t="s">
        <v>313</v>
      </c>
      <c r="C590" s="929" t="s">
        <v>3691</v>
      </c>
      <c r="D590" s="1723"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402" t="s">
        <v>3695</v>
      </c>
      <c r="F590" s="2338" t="s">
        <v>3696</v>
      </c>
      <c r="G590" s="403" t="s">
        <v>3697</v>
      </c>
    </row>
    <row r="591" spans="1:7" ht="48.75" customHeight="1">
      <c r="A591" s="401">
        <v>588</v>
      </c>
      <c r="B591" s="929" t="s">
        <v>313</v>
      </c>
      <c r="C591" s="929" t="s">
        <v>3698</v>
      </c>
      <c r="D591" s="1723" t="str">
        <f t="shared" si="9"/>
        <v>Puissance installée spécifique, par m2 SRE : Aucune donnée nécessaire ; calculée automatiquement.</v>
      </c>
      <c r="E591" s="402" t="s">
        <v>3699</v>
      </c>
      <c r="F591" s="2338" t="s">
        <v>3700</v>
      </c>
      <c r="G591" s="403" t="s">
        <v>3701</v>
      </c>
    </row>
    <row r="592" spans="1:7" ht="47.25" customHeight="1">
      <c r="A592" s="401">
        <v>589</v>
      </c>
      <c r="B592" s="929" t="s">
        <v>313</v>
      </c>
      <c r="C592" s="929" t="s">
        <v>3702</v>
      </c>
      <c r="D592" s="1723" t="str">
        <f t="shared" si="9"/>
        <v xml:space="preserve">Taille minimale de l'installation de production d’électricité : Est automatiquement calculée sur la base de la SRE. </v>
      </c>
      <c r="E592" s="402" t="s">
        <v>3703</v>
      </c>
      <c r="F592" s="2338" t="s">
        <v>3704</v>
      </c>
      <c r="G592" s="403" t="s">
        <v>3705</v>
      </c>
    </row>
    <row r="593" spans="1:7" ht="39" customHeight="1">
      <c r="A593" s="401">
        <v>590</v>
      </c>
      <c r="B593" s="929" t="s">
        <v>313</v>
      </c>
      <c r="C593" s="929" t="s">
        <v>3706</v>
      </c>
      <c r="D593" s="1723" t="str">
        <f t="shared" si="9"/>
        <v>La production d'électricité couvre la demande : Indique si l’autoproduction d'électricité couvre la demande pour les projets certifiés Minergie-A.</v>
      </c>
      <c r="E593" s="402" t="s">
        <v>3707</v>
      </c>
      <c r="F593" s="2338" t="s">
        <v>3708</v>
      </c>
      <c r="G593" s="403" t="s">
        <v>3709</v>
      </c>
    </row>
    <row r="594" spans="1:7" ht="51.75" customHeight="1">
      <c r="A594" s="401">
        <v>591</v>
      </c>
      <c r="B594" s="929" t="s">
        <v>313</v>
      </c>
      <c r="C594" s="929" t="s">
        <v>3710</v>
      </c>
      <c r="D594" s="1723" t="str">
        <f t="shared" si="9"/>
        <v>Étanchéité à l’air : Indique si un justificatif sur le concept d'étanchéité existe. Minergie-P ou -A : Indique si un concept de mesures de l'étanchéité à l'air existe, le cas échéant.</v>
      </c>
      <c r="E594" s="402" t="s">
        <v>3711</v>
      </c>
      <c r="F594" s="2338" t="s">
        <v>3712</v>
      </c>
      <c r="G594" s="403" t="s">
        <v>3713</v>
      </c>
    </row>
    <row r="595" spans="1:7" ht="51.75" customHeight="1">
      <c r="A595" s="401">
        <v>592</v>
      </c>
      <c r="B595" s="929" t="s">
        <v>313</v>
      </c>
      <c r="C595" s="929" t="s">
        <v>1917</v>
      </c>
      <c r="D595" s="1723" t="str">
        <f t="shared" si="9"/>
        <v>Eau chaude : Valable pour les catégories « Restauration », « Installations sportives » et « Piscines couvertes ». Au moins 20% des besoins en eau chaude sont couverts par des énergies renouvelables.</v>
      </c>
      <c r="E595" s="402" t="s">
        <v>3716</v>
      </c>
      <c r="F595" s="2338" t="s">
        <v>3717</v>
      </c>
      <c r="G595" s="403" t="s">
        <v>3718</v>
      </c>
    </row>
    <row r="596" spans="1:7" ht="39.75" customHeight="1">
      <c r="A596" s="401">
        <v>593</v>
      </c>
      <c r="B596" s="929" t="s">
        <v>313</v>
      </c>
      <c r="C596" s="929" t="s">
        <v>3714</v>
      </c>
      <c r="D596" s="1723" t="str">
        <f t="shared" si="9"/>
        <v>Recours aux énergies renouvelables : Donnée indiquant si le recours aux énergies fossiles ne dépasse pas le 30% autorisé.</v>
      </c>
      <c r="E596" s="402" t="s">
        <v>3719</v>
      </c>
      <c r="F596" s="2338" t="s">
        <v>3720</v>
      </c>
      <c r="G596" s="403" t="s">
        <v>3721</v>
      </c>
    </row>
    <row r="597" spans="1:7" ht="37.5" customHeight="1">
      <c r="A597" s="401">
        <v>594</v>
      </c>
      <c r="B597" s="929" t="s">
        <v>313</v>
      </c>
      <c r="C597" s="929" t="s">
        <v>3715</v>
      </c>
      <c r="D597" s="1723" t="str">
        <f t="shared" si="9"/>
        <v>Rejets de chaleur : Donnée indiquant s'il y a ou non des rejets de chaleur. Tout rejet de chaleur doit être utilisé.</v>
      </c>
      <c r="E597" s="402" t="s">
        <v>3722</v>
      </c>
      <c r="F597" s="2338" t="s">
        <v>3723</v>
      </c>
      <c r="G597" s="403" t="s">
        <v>3724</v>
      </c>
    </row>
    <row r="598" spans="1:7" ht="50.25" customHeight="1">
      <c r="A598" s="401">
        <v>595</v>
      </c>
      <c r="B598" s="929" t="s">
        <v>313</v>
      </c>
      <c r="C598" s="929" t="s">
        <v>3725</v>
      </c>
      <c r="D598" s="1723" t="str">
        <f t="shared" si="9"/>
        <v>Exploitation des rejets de chaleur : Indication pertinente uniquement s'il y a des rejets de chaleur. Si les rejets de chaleur sont exploités, joindre un justificatif indiquant la manière dont ils le sont.</v>
      </c>
      <c r="E598" s="402" t="s">
        <v>3727</v>
      </c>
      <c r="F598" s="2338" t="s">
        <v>3728</v>
      </c>
      <c r="G598" s="403" t="s">
        <v>3729</v>
      </c>
    </row>
    <row r="599" spans="1:7" ht="42.75" customHeight="1">
      <c r="A599" s="401">
        <v>596</v>
      </c>
      <c r="B599" s="929" t="s">
        <v>313</v>
      </c>
      <c r="C599" s="929" t="s">
        <v>3726</v>
      </c>
      <c r="D599" s="1723" t="str">
        <f t="shared" si="9"/>
        <v>Concept de monitoring : Indication si un concept de monitoring existe (seulement pour les bâtiments &gt; 2'000 m2 et pour tous les bâtiments Minergie-A).</v>
      </c>
      <c r="E599" s="402" t="s">
        <v>3730</v>
      </c>
      <c r="F599" s="2338" t="s">
        <v>3731</v>
      </c>
      <c r="G599" s="403" t="s">
        <v>3732</v>
      </c>
    </row>
    <row r="600" spans="1:7" ht="25.9" customHeight="1">
      <c r="A600" s="401">
        <v>597</v>
      </c>
      <c r="B600" s="929" t="s">
        <v>313</v>
      </c>
      <c r="C600" s="929" t="s">
        <v>3733</v>
      </c>
      <c r="D600" s="1723" t="str">
        <f t="shared" si="9"/>
        <v>Conduites vides pour la mobilité électrique : indique si des conduites vides sont prévues.</v>
      </c>
      <c r="E600" s="402" t="s">
        <v>3734</v>
      </c>
      <c r="F600" s="2338" t="s">
        <v>3735</v>
      </c>
      <c r="G600" s="403" t="s">
        <v>3736</v>
      </c>
    </row>
    <row r="601" spans="1:7" ht="53.25" customHeight="1">
      <c r="A601" s="401">
        <v>598</v>
      </c>
      <c r="B601" s="929" t="s">
        <v>1749</v>
      </c>
      <c r="C601" s="929" t="s">
        <v>886</v>
      </c>
      <c r="D601" s="1723" t="str">
        <f t="shared" si="9"/>
        <v>Protection solaire : Choix du type de protection solaire. Si l'option « autres » est sélectionnée, il faut indiquer le type de protection, la valeur g ainsi que la désignation du produit.</v>
      </c>
      <c r="E601" s="402" t="s">
        <v>3737</v>
      </c>
      <c r="F601" s="2338" t="s">
        <v>3738</v>
      </c>
      <c r="G601" s="403" t="s">
        <v>3739</v>
      </c>
    </row>
    <row r="602" spans="1:7" ht="54" customHeight="1">
      <c r="A602" s="401">
        <v>599</v>
      </c>
      <c r="B602" s="929" t="s">
        <v>1749</v>
      </c>
      <c r="C602" s="929" t="s">
        <v>3740</v>
      </c>
      <c r="D602" s="1723" t="str">
        <f t="shared" si="9"/>
        <v>Critères : Indiquent si les locaux de la zone satisfont aux critères.
L’indice de vitrage maximal dépend de la station climatique.</v>
      </c>
      <c r="E602" s="402" t="s">
        <v>3741</v>
      </c>
      <c r="F602" s="2338" t="s">
        <v>3742</v>
      </c>
      <c r="G602" s="403" t="s">
        <v>3743</v>
      </c>
    </row>
    <row r="603" spans="1:7" ht="51" customHeight="1">
      <c r="A603" s="401">
        <v>600</v>
      </c>
      <c r="B603" s="929" t="s">
        <v>1749</v>
      </c>
      <c r="C603" s="929" t="s">
        <v>900</v>
      </c>
      <c r="D603" s="1723" t="str">
        <f t="shared" si="9"/>
        <v>Variante 2 Exigences constructives : Indication du respect ou non des exigences des critères relatives à la protection thermique estivale selon le justificatif, variante 2 (document séparé).</v>
      </c>
      <c r="E603" s="402" t="s">
        <v>3744</v>
      </c>
      <c r="F603" s="2338" t="s">
        <v>3745</v>
      </c>
      <c r="G603" s="403" t="s">
        <v>3747</v>
      </c>
    </row>
    <row r="604" spans="1:7" ht="43.5" customHeight="1">
      <c r="A604" s="401">
        <v>601</v>
      </c>
      <c r="B604" s="929" t="s">
        <v>1749</v>
      </c>
      <c r="C604" s="929" t="s">
        <v>3437</v>
      </c>
      <c r="D604" s="1723" t="str">
        <f>INDEX($E$4:$G$804,$A604,$A$1)</f>
        <v>Variante 2 Critères de confort : Indication du respect ou non des exigences des critères de confort selon le justificatif, variante 2 (document séparé).</v>
      </c>
      <c r="E604" s="402" t="s">
        <v>3748</v>
      </c>
      <c r="F604" s="2338" t="s">
        <v>3746</v>
      </c>
      <c r="G604" s="403" t="s">
        <v>3747</v>
      </c>
    </row>
    <row r="605" spans="1:7" ht="39.75" customHeight="1">
      <c r="A605" s="401">
        <v>602</v>
      </c>
      <c r="B605" s="929" t="s">
        <v>1749</v>
      </c>
      <c r="C605" s="929" t="s">
        <v>3674</v>
      </c>
      <c r="D605" s="2343" t="str">
        <f t="shared" ref="D605:D668" si="10">INDEX($E$4:$G$804,$A605,$A$1)</f>
        <v>Variante 3 SIA 180: Indique si les valeurs limites de température selon SIA 180 ne sont pas dépassées sans refroidissement.</v>
      </c>
      <c r="E605" s="402" t="s">
        <v>3749</v>
      </c>
      <c r="F605" s="2338" t="s">
        <v>3750</v>
      </c>
      <c r="G605" s="403" t="s">
        <v>3751</v>
      </c>
    </row>
    <row r="606" spans="1:7" ht="42" customHeight="1">
      <c r="A606" s="401">
        <v>603</v>
      </c>
      <c r="B606" s="929" t="s">
        <v>1749</v>
      </c>
      <c r="C606" s="929" t="s">
        <v>3675</v>
      </c>
      <c r="D606" s="2343" t="str">
        <f t="shared" si="10"/>
        <v>Variante 3 Refroidissement : Indique si le refroidissement prévu est suffisant et si les besoins en énergie ont été calculés.</v>
      </c>
      <c r="E606" s="402" t="s">
        <v>3752</v>
      </c>
      <c r="F606" s="2338" t="s">
        <v>3753</v>
      </c>
      <c r="G606" s="403" t="s">
        <v>4974</v>
      </c>
    </row>
    <row r="607" spans="1:7" ht="25.9" customHeight="1">
      <c r="A607" s="401">
        <v>604</v>
      </c>
      <c r="B607" s="929" t="s">
        <v>4027</v>
      </c>
      <c r="C607" s="929" t="s">
        <v>4773</v>
      </c>
      <c r="D607" s="2343" t="str">
        <f t="shared" si="10"/>
        <v>Informations complémentaires</v>
      </c>
      <c r="E607" s="402" t="s">
        <v>4025</v>
      </c>
      <c r="F607" s="2338" t="s">
        <v>4835</v>
      </c>
      <c r="G607" s="2230" t="s">
        <v>4927</v>
      </c>
    </row>
    <row r="608" spans="1:7" ht="25.9" customHeight="1">
      <c r="A608" s="401">
        <v>605</v>
      </c>
      <c r="B608" s="929" t="s">
        <v>4027</v>
      </c>
      <c r="C608" s="929" t="s">
        <v>1753</v>
      </c>
      <c r="D608" s="2343" t="str">
        <f t="shared" si="10"/>
        <v>Type de justification</v>
      </c>
      <c r="E608" s="402" t="s">
        <v>825</v>
      </c>
      <c r="F608" s="2338" t="s">
        <v>4836</v>
      </c>
      <c r="G608" s="2230" t="s">
        <v>1245</v>
      </c>
    </row>
    <row r="609" spans="1:7" ht="25.9" customHeight="1">
      <c r="A609" s="401">
        <v>606</v>
      </c>
      <c r="B609" s="929" t="s">
        <v>4027</v>
      </c>
      <c r="C609" s="929" t="s">
        <v>1757</v>
      </c>
      <c r="D609" s="2343" t="str">
        <f t="shared" si="10"/>
        <v>Données saisies par l'utilisateur</v>
      </c>
      <c r="E609" s="402" t="s">
        <v>4026</v>
      </c>
      <c r="F609" s="2338" t="s">
        <v>4837</v>
      </c>
      <c r="G609" s="2230" t="s">
        <v>4928</v>
      </c>
    </row>
    <row r="610" spans="1:7" ht="25.9" customHeight="1">
      <c r="A610" s="401">
        <v>607</v>
      </c>
      <c r="B610" s="929" t="s">
        <v>4027</v>
      </c>
      <c r="C610" s="929" t="s">
        <v>4774</v>
      </c>
      <c r="D610" s="2343" t="str">
        <f t="shared" si="10"/>
        <v>Construction</v>
      </c>
      <c r="E610" s="402" t="s">
        <v>4772</v>
      </c>
      <c r="F610" s="2338" t="s">
        <v>4967</v>
      </c>
      <c r="G610" s="2230" t="s">
        <v>4783</v>
      </c>
    </row>
    <row r="611" spans="1:7" ht="25.9" customHeight="1">
      <c r="A611" s="401">
        <v>608</v>
      </c>
      <c r="B611" s="929" t="s">
        <v>4027</v>
      </c>
      <c r="C611" s="929" t="s">
        <v>488</v>
      </c>
      <c r="D611" s="2343" t="str">
        <f t="shared" si="10"/>
        <v>Surface de plancher</v>
      </c>
      <c r="E611" s="402" t="s">
        <v>4028</v>
      </c>
      <c r="F611" s="2338" t="s">
        <v>4838</v>
      </c>
      <c r="G611" s="2230" t="s">
        <v>4784</v>
      </c>
    </row>
    <row r="612" spans="1:7" ht="25.9" customHeight="1">
      <c r="A612" s="401">
        <v>609</v>
      </c>
      <c r="B612" s="929" t="s">
        <v>4027</v>
      </c>
      <c r="C612" s="929" t="s">
        <v>865</v>
      </c>
      <c r="D612" s="2343" t="str">
        <f t="shared" si="10"/>
        <v>Typologie de construction</v>
      </c>
      <c r="E612" s="402" t="s">
        <v>4029</v>
      </c>
      <c r="F612" s="2338" t="s">
        <v>4839</v>
      </c>
      <c r="G612" s="2230" t="s">
        <v>4785</v>
      </c>
    </row>
    <row r="613" spans="1:7" ht="25.9" customHeight="1">
      <c r="A613" s="401">
        <v>610</v>
      </c>
      <c r="B613" s="929" t="s">
        <v>4027</v>
      </c>
      <c r="C613" s="929" t="s">
        <v>513</v>
      </c>
      <c r="D613" s="2343" t="str">
        <f t="shared" si="10"/>
        <v>Emploi de béton enrichi en CO2</v>
      </c>
      <c r="E613" s="402" t="s">
        <v>4030</v>
      </c>
      <c r="F613" s="2338" t="s">
        <v>4840</v>
      </c>
      <c r="G613" s="2230" t="s">
        <v>4786</v>
      </c>
    </row>
    <row r="614" spans="1:7" ht="25.9" customHeight="1">
      <c r="A614" s="401">
        <v>611</v>
      </c>
      <c r="B614" s="929" t="s">
        <v>4027</v>
      </c>
      <c r="C614" s="929" t="s">
        <v>867</v>
      </c>
      <c r="D614" s="2343" t="str">
        <f t="shared" si="10"/>
        <v>Proportion de fenêtres</v>
      </c>
      <c r="E614" s="402" t="s">
        <v>4031</v>
      </c>
      <c r="F614" s="2338" t="s">
        <v>4841</v>
      </c>
      <c r="G614" s="2230" t="s">
        <v>4787</v>
      </c>
    </row>
    <row r="615" spans="1:7" ht="25.9" customHeight="1">
      <c r="A615" s="401">
        <v>612</v>
      </c>
      <c r="B615" s="929" t="s">
        <v>4027</v>
      </c>
      <c r="C615" s="929" t="s">
        <v>868</v>
      </c>
      <c r="D615" s="2343" t="str">
        <f t="shared" si="10"/>
        <v>Epaisseur des dalles</v>
      </c>
      <c r="E615" s="402" t="s">
        <v>4032</v>
      </c>
      <c r="F615" s="2338" t="s">
        <v>4842</v>
      </c>
      <c r="G615" s="2230" t="s">
        <v>4788</v>
      </c>
    </row>
    <row r="616" spans="1:7" ht="25.9" customHeight="1">
      <c r="A616" s="401">
        <v>613</v>
      </c>
      <c r="B616" s="929" t="s">
        <v>4027</v>
      </c>
      <c r="C616" s="929" t="s">
        <v>1762</v>
      </c>
      <c r="D616" s="2343" t="str">
        <f t="shared" si="10"/>
        <v>Composition du sous sol</v>
      </c>
      <c r="E616" s="402" t="s">
        <v>4033</v>
      </c>
      <c r="F616" s="2338" t="s">
        <v>4843</v>
      </c>
      <c r="G616" s="2230" t="s">
        <v>4929</v>
      </c>
    </row>
    <row r="617" spans="1:7" ht="25.9" customHeight="1">
      <c r="A617" s="401">
        <v>614</v>
      </c>
      <c r="B617" s="929" t="s">
        <v>4027</v>
      </c>
      <c r="C617" s="929" t="s">
        <v>866</v>
      </c>
      <c r="D617" s="2343" t="str">
        <f t="shared" si="10"/>
        <v>Structure porteuse</v>
      </c>
      <c r="E617" s="402" t="s">
        <v>4034</v>
      </c>
      <c r="F617" s="2338" t="s">
        <v>4844</v>
      </c>
      <c r="G617" s="2230" t="s">
        <v>4789</v>
      </c>
    </row>
    <row r="618" spans="1:7" ht="25.9" customHeight="1">
      <c r="A618" s="401">
        <v>615</v>
      </c>
      <c r="B618" s="929" t="s">
        <v>4027</v>
      </c>
      <c r="C618" s="929" t="s">
        <v>496</v>
      </c>
      <c r="D618" s="2343" t="str">
        <f t="shared" si="10"/>
        <v>Fondation</v>
      </c>
      <c r="E618" s="402" t="s">
        <v>4035</v>
      </c>
      <c r="F618" s="2338" t="s">
        <v>4845</v>
      </c>
      <c r="G618" s="2230" t="s">
        <v>4790</v>
      </c>
    </row>
    <row r="619" spans="1:7" ht="25.9" customHeight="1">
      <c r="A619" s="401">
        <v>616</v>
      </c>
      <c r="B619" s="929" t="s">
        <v>4027</v>
      </c>
      <c r="C619" s="929" t="s">
        <v>551</v>
      </c>
      <c r="D619" s="2343" t="str">
        <f t="shared" si="10"/>
        <v>Fouille</v>
      </c>
      <c r="E619" s="402" t="s">
        <v>4036</v>
      </c>
      <c r="F619" s="2338" t="s">
        <v>4846</v>
      </c>
      <c r="G619" s="2230" t="s">
        <v>4930</v>
      </c>
    </row>
    <row r="620" spans="1:7" ht="25.9" customHeight="1">
      <c r="A620" s="401">
        <v>617</v>
      </c>
      <c r="B620" s="929" t="s">
        <v>4027</v>
      </c>
      <c r="D620" s="2343" t="str">
        <f t="shared" si="10"/>
        <v>Ampleur de l'intervention dans le toit</v>
      </c>
      <c r="E620" s="402" t="s">
        <v>4037</v>
      </c>
      <c r="F620" s="2338" t="s">
        <v>4847</v>
      </c>
      <c r="G620" s="2230" t="s">
        <v>4931</v>
      </c>
    </row>
    <row r="621" spans="1:7" ht="25.9" customHeight="1">
      <c r="A621" s="401">
        <v>618</v>
      </c>
      <c r="B621" s="929" t="s">
        <v>4027</v>
      </c>
      <c r="D621" s="2343" t="str">
        <f t="shared" si="10"/>
        <v>Ampleur de l'intervention dans la façade</v>
      </c>
      <c r="E621" s="402" t="s">
        <v>4038</v>
      </c>
      <c r="F621" s="2338" t="s">
        <v>4848</v>
      </c>
      <c r="G621" s="2230" t="s">
        <v>4932</v>
      </c>
    </row>
    <row r="622" spans="1:7" ht="25.9" customHeight="1">
      <c r="A622" s="401">
        <v>619</v>
      </c>
      <c r="B622" s="929" t="s">
        <v>4027</v>
      </c>
      <c r="D622" s="2343" t="str">
        <f t="shared" si="10"/>
        <v>Ampleur de l'intervention dans l'extension</v>
      </c>
      <c r="E622" s="402" t="s">
        <v>4039</v>
      </c>
      <c r="F622" s="2338" t="s">
        <v>4849</v>
      </c>
      <c r="G622" s="2230" t="s">
        <v>4933</v>
      </c>
    </row>
    <row r="623" spans="1:7" ht="25.9" customHeight="1">
      <c r="A623" s="401">
        <v>620</v>
      </c>
      <c r="B623" s="929" t="s">
        <v>4027</v>
      </c>
      <c r="D623" s="2343" t="str">
        <f t="shared" si="10"/>
        <v>Remplacement des fenêtres</v>
      </c>
      <c r="E623" s="402" t="s">
        <v>4040</v>
      </c>
      <c r="F623" s="2338" t="s">
        <v>4850</v>
      </c>
      <c r="G623" s="2230" t="s">
        <v>4791</v>
      </c>
    </row>
    <row r="624" spans="1:7" ht="25.9" customHeight="1">
      <c r="A624" s="401">
        <v>621</v>
      </c>
      <c r="B624" s="929" t="s">
        <v>4027</v>
      </c>
      <c r="D624" s="2343" t="str">
        <f t="shared" si="10"/>
        <v>Ampleur de l'intervention sur les installations techniques</v>
      </c>
      <c r="E624" s="402" t="s">
        <v>4041</v>
      </c>
      <c r="F624" s="2338" t="s">
        <v>4851</v>
      </c>
      <c r="G624" s="2230" t="s">
        <v>4934</v>
      </c>
    </row>
    <row r="625" spans="1:7" ht="25.9" customHeight="1">
      <c r="A625" s="401">
        <v>622</v>
      </c>
      <c r="B625" s="929" t="s">
        <v>4980</v>
      </c>
      <c r="C625" s="929" t="s">
        <v>4981</v>
      </c>
      <c r="D625" s="2343" t="str">
        <f t="shared" si="10"/>
        <v>Pas de sous-sol</v>
      </c>
      <c r="E625" s="402" t="s">
        <v>4042</v>
      </c>
      <c r="F625" s="2338" t="s">
        <v>4852</v>
      </c>
      <c r="G625" s="2230" t="s">
        <v>4935</v>
      </c>
    </row>
    <row r="626" spans="1:7" ht="25.9" customHeight="1">
      <c r="A626" s="401">
        <v>623</v>
      </c>
      <c r="B626" s="2339" t="s">
        <v>4980</v>
      </c>
      <c r="C626" s="2339" t="s">
        <v>4982</v>
      </c>
      <c r="D626" s="2343" t="str">
        <f t="shared" si="10"/>
        <v>Sous-sol plus petit que la surface bâtie du bâtiment</v>
      </c>
      <c r="E626" s="402" t="s">
        <v>4043</v>
      </c>
      <c r="F626" s="2338" t="s">
        <v>4959</v>
      </c>
      <c r="G626" s="2230" t="s">
        <v>4975</v>
      </c>
    </row>
    <row r="627" spans="1:7" ht="25.9" customHeight="1">
      <c r="A627" s="401">
        <v>624</v>
      </c>
      <c r="B627" s="2339" t="s">
        <v>4980</v>
      </c>
      <c r="C627" s="2339" t="s">
        <v>4983</v>
      </c>
      <c r="D627" s="2343" t="str">
        <f t="shared" si="10"/>
        <v>Sous-sol intégré dans la surface bâtie du bâtiment</v>
      </c>
      <c r="E627" s="402" t="s">
        <v>4044</v>
      </c>
      <c r="F627" s="2338" t="s">
        <v>4960</v>
      </c>
      <c r="G627" s="2230" t="s">
        <v>4976</v>
      </c>
    </row>
    <row r="628" spans="1:7" ht="25.9" customHeight="1">
      <c r="A628" s="401">
        <v>625</v>
      </c>
      <c r="B628" s="2339" t="s">
        <v>4980</v>
      </c>
      <c r="C628" s="2339" t="s">
        <v>4984</v>
      </c>
      <c r="D628" s="2343" t="str">
        <f t="shared" si="10"/>
        <v>Sous-sol partiellement hors de la surface bâtie du bâtiment</v>
      </c>
      <c r="E628" s="402" t="s">
        <v>4045</v>
      </c>
      <c r="F628" s="2338" t="s">
        <v>4961</v>
      </c>
      <c r="G628" s="2230" t="s">
        <v>4977</v>
      </c>
    </row>
    <row r="629" spans="1:7" ht="25.9" customHeight="1">
      <c r="A629" s="401">
        <v>626</v>
      </c>
      <c r="B629" s="2339" t="s">
        <v>4980</v>
      </c>
      <c r="C629" s="2339" t="s">
        <v>4985</v>
      </c>
      <c r="D629" s="2343" t="str">
        <f t="shared" si="10"/>
        <v>Sous-sol partiellement nettement plus grand que la surface bâtie du bâtiment</v>
      </c>
      <c r="E629" s="402" t="s">
        <v>4046</v>
      </c>
      <c r="F629" s="2338" t="s">
        <v>4962</v>
      </c>
      <c r="G629" s="2230" t="s">
        <v>4978</v>
      </c>
    </row>
    <row r="630" spans="1:7" ht="25.9" customHeight="1">
      <c r="A630" s="401">
        <v>627</v>
      </c>
      <c r="B630" s="2339" t="s">
        <v>4980</v>
      </c>
      <c r="C630" s="929" t="s">
        <v>4986</v>
      </c>
      <c r="D630" s="2343" t="str">
        <f t="shared" si="10"/>
        <v>Contruction massive lourde</v>
      </c>
      <c r="E630" s="402" t="s">
        <v>4047</v>
      </c>
      <c r="F630" s="2338" t="s">
        <v>4853</v>
      </c>
      <c r="G630" s="2230" t="s">
        <v>4792</v>
      </c>
    </row>
    <row r="631" spans="1:7" ht="25.9" customHeight="1">
      <c r="A631" s="401">
        <v>628</v>
      </c>
      <c r="B631" s="2339" t="s">
        <v>4980</v>
      </c>
      <c r="C631" s="2339" t="s">
        <v>4987</v>
      </c>
      <c r="D631" s="2343" t="str">
        <f t="shared" si="10"/>
        <v>Contruction massive légère</v>
      </c>
      <c r="E631" s="402" t="s">
        <v>4048</v>
      </c>
      <c r="F631" s="2338" t="s">
        <v>4854</v>
      </c>
      <c r="G631" s="2230" t="s">
        <v>4793</v>
      </c>
    </row>
    <row r="632" spans="1:7" ht="25.9" customHeight="1">
      <c r="A632" s="401">
        <v>629</v>
      </c>
      <c r="B632" s="2339" t="s">
        <v>4980</v>
      </c>
      <c r="C632" s="2339" t="s">
        <v>4988</v>
      </c>
      <c r="D632" s="2343" t="str">
        <f t="shared" si="10"/>
        <v>Construction en bois lourde</v>
      </c>
      <c r="E632" s="402" t="s">
        <v>4049</v>
      </c>
      <c r="F632" s="2338" t="s">
        <v>4855</v>
      </c>
      <c r="G632" s="2230" t="s">
        <v>4794</v>
      </c>
    </row>
    <row r="633" spans="1:7" ht="25.9" customHeight="1">
      <c r="A633" s="401">
        <v>630</v>
      </c>
      <c r="B633" s="2339" t="s">
        <v>4980</v>
      </c>
      <c r="C633" s="2339" t="s">
        <v>4989</v>
      </c>
      <c r="D633" s="2343" t="str">
        <f t="shared" si="10"/>
        <v>Construction en bois légère</v>
      </c>
      <c r="E633" s="402" t="s">
        <v>4050</v>
      </c>
      <c r="F633" s="2338" t="s">
        <v>4856</v>
      </c>
      <c r="G633" s="2230" t="s">
        <v>4795</v>
      </c>
    </row>
    <row r="634" spans="1:7" ht="25.9" customHeight="1">
      <c r="A634" s="401">
        <v>631</v>
      </c>
      <c r="B634" s="2339" t="s">
        <v>4980</v>
      </c>
      <c r="C634" s="2339" t="s">
        <v>4990</v>
      </c>
      <c r="D634" s="2343" t="str">
        <f t="shared" si="10"/>
        <v>Construction hybride</v>
      </c>
      <c r="E634" s="402" t="s">
        <v>4051</v>
      </c>
      <c r="F634" s="2338" t="s">
        <v>4857</v>
      </c>
      <c r="G634" s="2230" t="s">
        <v>4796</v>
      </c>
    </row>
    <row r="635" spans="1:7" ht="25.9" customHeight="1">
      <c r="A635" s="401">
        <v>632</v>
      </c>
      <c r="B635" s="2339" t="s">
        <v>4980</v>
      </c>
      <c r="C635" s="2339" t="s">
        <v>4991</v>
      </c>
      <c r="D635" s="2343" t="str">
        <f t="shared" si="10"/>
        <v>Construction vitrée</v>
      </c>
      <c r="E635" s="402" t="s">
        <v>4052</v>
      </c>
      <c r="F635" s="2338" t="s">
        <v>4858</v>
      </c>
      <c r="G635" s="2230" t="s">
        <v>4797</v>
      </c>
    </row>
    <row r="636" spans="1:7" ht="25.9" customHeight="1">
      <c r="A636" s="401">
        <v>633</v>
      </c>
      <c r="B636" s="2339" t="s">
        <v>4980</v>
      </c>
      <c r="C636" s="2339" t="s">
        <v>3265</v>
      </c>
      <c r="D636" s="2343" t="str">
        <f t="shared" si="10"/>
        <v>Construction métallique</v>
      </c>
      <c r="E636" s="402" t="s">
        <v>4053</v>
      </c>
      <c r="F636" s="2338" t="s">
        <v>4859</v>
      </c>
      <c r="G636" s="2230" t="s">
        <v>4798</v>
      </c>
    </row>
    <row r="637" spans="1:7" ht="25.9" customHeight="1">
      <c r="A637" s="401">
        <v>634</v>
      </c>
      <c r="B637" s="2339" t="s">
        <v>4980</v>
      </c>
      <c r="C637" s="929" t="s">
        <v>4992</v>
      </c>
      <c r="D637" s="2343" t="str">
        <f t="shared" si="10"/>
        <v>Fondation superficielle</v>
      </c>
      <c r="E637" s="402" t="s">
        <v>4054</v>
      </c>
      <c r="F637" s="2338" t="s">
        <v>4860</v>
      </c>
      <c r="G637" s="2230" t="s">
        <v>4936</v>
      </c>
    </row>
    <row r="638" spans="1:7" ht="25.9" customHeight="1">
      <c r="A638" s="401">
        <v>635</v>
      </c>
      <c r="B638" s="2339" t="s">
        <v>4980</v>
      </c>
      <c r="C638" s="2339" t="s">
        <v>4993</v>
      </c>
      <c r="D638" s="2343" t="str">
        <f t="shared" si="10"/>
        <v>Micro-pieux</v>
      </c>
      <c r="E638" s="402" t="s">
        <v>4055</v>
      </c>
      <c r="F638" s="2338" t="s">
        <v>4861</v>
      </c>
      <c r="G638" s="2230" t="s">
        <v>4799</v>
      </c>
    </row>
    <row r="639" spans="1:7" ht="25.9" customHeight="1">
      <c r="A639" s="401">
        <v>636</v>
      </c>
      <c r="B639" s="2339" t="s">
        <v>4980</v>
      </c>
      <c r="C639" s="2339" t="s">
        <v>4994</v>
      </c>
      <c r="D639" s="2343" t="str">
        <f t="shared" si="10"/>
        <v>Pieux en béton coulé sur place</v>
      </c>
      <c r="E639" s="402" t="s">
        <v>4056</v>
      </c>
      <c r="F639" s="2338" t="s">
        <v>4862</v>
      </c>
      <c r="G639" s="2230" t="s">
        <v>4800</v>
      </c>
    </row>
    <row r="640" spans="1:7" ht="25.9" customHeight="1">
      <c r="A640" s="401">
        <v>637</v>
      </c>
      <c r="B640" s="2339" t="s">
        <v>4980</v>
      </c>
      <c r="C640" s="2339" t="s">
        <v>4995</v>
      </c>
      <c r="D640" s="2343" t="str">
        <f t="shared" si="10"/>
        <v>Colonnes ballastées</v>
      </c>
      <c r="E640" s="402" t="s">
        <v>4057</v>
      </c>
      <c r="F640" s="2338" t="s">
        <v>4863</v>
      </c>
      <c r="G640" s="2230" t="s">
        <v>4937</v>
      </c>
    </row>
    <row r="641" spans="1:7" ht="25.9" customHeight="1">
      <c r="A641" s="401">
        <v>638</v>
      </c>
      <c r="B641" s="2339" t="s">
        <v>4980</v>
      </c>
      <c r="C641" s="2339" t="s">
        <v>4996</v>
      </c>
      <c r="D641" s="2343" t="str">
        <f t="shared" si="10"/>
        <v>Pieu en béton préfabriqué (battus)</v>
      </c>
      <c r="E641" s="402" t="s">
        <v>4058</v>
      </c>
      <c r="F641" s="2338" t="s">
        <v>4864</v>
      </c>
      <c r="G641" s="2230" t="s">
        <v>4801</v>
      </c>
    </row>
    <row r="642" spans="1:7" ht="25.9" customHeight="1">
      <c r="A642" s="401">
        <v>639</v>
      </c>
      <c r="B642" s="2339" t="s">
        <v>4980</v>
      </c>
      <c r="C642" s="929" t="s">
        <v>4997</v>
      </c>
      <c r="D642" s="2343" t="str">
        <f t="shared" si="10"/>
        <v>Talus</v>
      </c>
      <c r="E642" s="402" t="s">
        <v>4059</v>
      </c>
      <c r="F642" s="2338" t="s">
        <v>4865</v>
      </c>
      <c r="G642" s="2230" t="s">
        <v>4802</v>
      </c>
    </row>
    <row r="643" spans="1:7" ht="25.9" customHeight="1">
      <c r="A643" s="401">
        <v>640</v>
      </c>
      <c r="B643" s="2339" t="s">
        <v>4980</v>
      </c>
      <c r="C643" s="2339" t="s">
        <v>4998</v>
      </c>
      <c r="D643" s="2343" t="str">
        <f t="shared" si="10"/>
        <v>Paroi de pieux forés</v>
      </c>
      <c r="E643" s="402" t="s">
        <v>4060</v>
      </c>
      <c r="F643" s="2338" t="s">
        <v>4866</v>
      </c>
      <c r="G643" s="2230" t="s">
        <v>4938</v>
      </c>
    </row>
    <row r="644" spans="1:7" ht="25.9" customHeight="1">
      <c r="A644" s="401">
        <v>641</v>
      </c>
      <c r="B644" s="2339" t="s">
        <v>4980</v>
      </c>
      <c r="C644" s="2339" t="s">
        <v>4999</v>
      </c>
      <c r="D644" s="2343" t="str">
        <f t="shared" si="10"/>
        <v>Paroi clouée</v>
      </c>
      <c r="E644" s="402" t="s">
        <v>4061</v>
      </c>
      <c r="F644" s="2338" t="s">
        <v>4867</v>
      </c>
      <c r="G644" s="2230" t="s">
        <v>4939</v>
      </c>
    </row>
    <row r="645" spans="1:7" ht="25.9" customHeight="1">
      <c r="A645" s="401">
        <v>642</v>
      </c>
      <c r="B645" s="2339" t="s">
        <v>4980</v>
      </c>
      <c r="C645" s="2339" t="s">
        <v>5000</v>
      </c>
      <c r="D645" s="2343" t="str">
        <f t="shared" si="10"/>
        <v>Paroi berlinoise</v>
      </c>
      <c r="E645" s="402" t="s">
        <v>4062</v>
      </c>
      <c r="F645" s="2338" t="s">
        <v>4868</v>
      </c>
      <c r="G645" s="2230" t="s">
        <v>4940</v>
      </c>
    </row>
    <row r="646" spans="1:7" ht="25.9" customHeight="1">
      <c r="A646" s="401">
        <v>643</v>
      </c>
      <c r="B646" s="2339" t="s">
        <v>4980</v>
      </c>
      <c r="C646" s="2339" t="s">
        <v>5001</v>
      </c>
      <c r="D646" s="2343" t="str">
        <f t="shared" si="10"/>
        <v>Paroi moulée</v>
      </c>
      <c r="E646" s="402" t="s">
        <v>4063</v>
      </c>
      <c r="F646" s="2338" t="s">
        <v>4869</v>
      </c>
      <c r="G646" s="2230" t="s">
        <v>4803</v>
      </c>
    </row>
    <row r="647" spans="1:7" ht="25.9" customHeight="1">
      <c r="A647" s="401">
        <v>644</v>
      </c>
      <c r="B647" s="2339" t="s">
        <v>4980</v>
      </c>
      <c r="C647" s="2339" t="s">
        <v>5002</v>
      </c>
      <c r="D647" s="2343" t="str">
        <f t="shared" si="10"/>
        <v>Palplanches</v>
      </c>
      <c r="E647" s="402" t="s">
        <v>4064</v>
      </c>
      <c r="F647" s="2338" t="s">
        <v>4870</v>
      </c>
      <c r="G647" s="2230" t="s">
        <v>4804</v>
      </c>
    </row>
    <row r="648" spans="1:7" ht="25.9" customHeight="1">
      <c r="A648" s="401">
        <v>645</v>
      </c>
      <c r="B648" s="2339" t="s">
        <v>4980</v>
      </c>
      <c r="C648" s="929" t="s">
        <v>5003</v>
      </c>
      <c r="D648" s="2343" t="str">
        <f t="shared" si="10"/>
        <v>petites portées</v>
      </c>
      <c r="E648" s="402" t="s">
        <v>4065</v>
      </c>
      <c r="F648" s="2338" t="s">
        <v>4871</v>
      </c>
      <c r="G648" s="2230" t="s">
        <v>4805</v>
      </c>
    </row>
    <row r="649" spans="1:7" ht="25.9" customHeight="1">
      <c r="A649" s="401">
        <v>646</v>
      </c>
      <c r="B649" s="2339" t="s">
        <v>4980</v>
      </c>
      <c r="C649" s="2339" t="s">
        <v>5004</v>
      </c>
      <c r="D649" s="2343" t="str">
        <f t="shared" si="10"/>
        <v>portées modérées</v>
      </c>
      <c r="E649" s="402" t="s">
        <v>4066</v>
      </c>
      <c r="F649" s="2338" t="s">
        <v>4872</v>
      </c>
      <c r="G649" s="2230" t="s">
        <v>4806</v>
      </c>
    </row>
    <row r="650" spans="1:7" ht="25.9" customHeight="1">
      <c r="A650" s="401">
        <v>647</v>
      </c>
      <c r="B650" s="2339" t="s">
        <v>4980</v>
      </c>
      <c r="C650" s="2339" t="s">
        <v>5005</v>
      </c>
      <c r="D650" s="2343" t="str">
        <f t="shared" si="10"/>
        <v>portées moyennes</v>
      </c>
      <c r="E650" s="402" t="s">
        <v>4067</v>
      </c>
      <c r="F650" s="2338" t="s">
        <v>4873</v>
      </c>
      <c r="G650" s="2230" t="s">
        <v>4807</v>
      </c>
    </row>
    <row r="651" spans="1:7" ht="25.9" customHeight="1">
      <c r="A651" s="401">
        <v>648</v>
      </c>
      <c r="B651" s="2339" t="s">
        <v>4980</v>
      </c>
      <c r="C651" s="2339" t="s">
        <v>5006</v>
      </c>
      <c r="D651" s="2343" t="str">
        <f t="shared" si="10"/>
        <v>portes accrues</v>
      </c>
      <c r="E651" s="402" t="s">
        <v>4068</v>
      </c>
      <c r="F651" s="2338" t="s">
        <v>4874</v>
      </c>
      <c r="G651" s="2230" t="s">
        <v>4808</v>
      </c>
    </row>
    <row r="652" spans="1:7" ht="25.9" customHeight="1">
      <c r="A652" s="401">
        <v>649</v>
      </c>
      <c r="B652" s="2339" t="s">
        <v>4980</v>
      </c>
      <c r="C652" s="2339" t="s">
        <v>5007</v>
      </c>
      <c r="D652" s="2343" t="str">
        <f t="shared" si="10"/>
        <v>grands portées</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Carbone stocké</v>
      </c>
      <c r="E654" s="402" t="s">
        <v>4070</v>
      </c>
      <c r="F654" s="2338" t="s">
        <v>4876</v>
      </c>
      <c r="G654" s="2230" t="s">
        <v>4810</v>
      </c>
    </row>
    <row r="655" spans="1:7" ht="25.9" customHeight="1">
      <c r="A655" s="401">
        <v>652</v>
      </c>
      <c r="B655" s="2339" t="s">
        <v>4027</v>
      </c>
      <c r="D655" s="2343" t="str">
        <f t="shared" si="10"/>
        <v>Emissions de gaz à effet de serre (exploitation)</v>
      </c>
      <c r="E655" s="402" t="s">
        <v>4071</v>
      </c>
      <c r="F655" s="2338" t="s">
        <v>4877</v>
      </c>
      <c r="G655" s="2230" t="s">
        <v>4811</v>
      </c>
    </row>
    <row r="656" spans="1:7" ht="25.9" customHeight="1">
      <c r="A656" s="401">
        <v>653</v>
      </c>
      <c r="B656" s="2339" t="s">
        <v>4027</v>
      </c>
      <c r="C656" s="929" t="s">
        <v>97</v>
      </c>
      <c r="D656" s="2343" t="str">
        <f t="shared" si="10"/>
        <v>Emissions de gaz à effet de serre</v>
      </c>
      <c r="E656" s="402" t="s">
        <v>4072</v>
      </c>
      <c r="F656" s="2338" t="s">
        <v>4878</v>
      </c>
      <c r="G656" s="2230" t="s">
        <v>4941</v>
      </c>
    </row>
    <row r="657" spans="1:7" ht="25.9" customHeight="1">
      <c r="A657" s="401">
        <v>654</v>
      </c>
      <c r="B657" s="2339" t="s">
        <v>4027</v>
      </c>
      <c r="C657" s="929" t="s">
        <v>98</v>
      </c>
      <c r="D657" s="2343" t="str">
        <f t="shared" si="10"/>
        <v>Energie grise</v>
      </c>
      <c r="E657" s="402" t="s">
        <v>382</v>
      </c>
      <c r="F657" s="2338" t="s">
        <v>4879</v>
      </c>
      <c r="G657" s="2230" t="s">
        <v>4812</v>
      </c>
    </row>
    <row r="658" spans="1:7" ht="25.9" customHeight="1">
      <c r="A658" s="401">
        <v>655</v>
      </c>
      <c r="B658" s="2339" t="s">
        <v>4027</v>
      </c>
      <c r="D658" s="2343" t="str">
        <f t="shared" si="10"/>
        <v>Rénovation complète des installations techniques</v>
      </c>
      <c r="E658" s="402" t="s">
        <v>4073</v>
      </c>
      <c r="F658" s="2338" t="s">
        <v>4880</v>
      </c>
      <c r="G658" s="2230" t="s">
        <v>4813</v>
      </c>
    </row>
    <row r="659" spans="1:7" ht="25.9" customHeight="1">
      <c r="A659" s="401">
        <v>656</v>
      </c>
      <c r="B659" s="2339" t="s">
        <v>4027</v>
      </c>
      <c r="D659" s="2343" t="str">
        <f t="shared" si="10"/>
        <v>Rénovation majoritaire des installations techniques</v>
      </c>
      <c r="E659" s="402" t="s">
        <v>4074</v>
      </c>
      <c r="F659" s="2338" t="s">
        <v>4881</v>
      </c>
      <c r="G659" s="2230" t="s">
        <v>4814</v>
      </c>
    </row>
    <row r="660" spans="1:7" ht="25.9" customHeight="1">
      <c r="A660" s="401">
        <v>657</v>
      </c>
      <c r="B660" s="2339" t="s">
        <v>4027</v>
      </c>
      <c r="D660" s="2343" t="str">
        <f t="shared" si="10"/>
        <v>Rénovation partielle des installations techniques</v>
      </c>
      <c r="E660" s="402" t="s">
        <v>4075</v>
      </c>
      <c r="F660" s="2338" t="s">
        <v>4882</v>
      </c>
      <c r="G660" s="2230" t="s">
        <v>4815</v>
      </c>
    </row>
    <row r="661" spans="1:7" ht="25.9" customHeight="1">
      <c r="A661" s="401">
        <v>658</v>
      </c>
      <c r="B661" s="2339" t="s">
        <v>4027</v>
      </c>
      <c r="D661" s="2343" t="str">
        <f t="shared" si="10"/>
        <v>Rénovation mineure des installations techniques</v>
      </c>
      <c r="E661" s="402" t="s">
        <v>4076</v>
      </c>
      <c r="F661" s="2338" t="s">
        <v>4883</v>
      </c>
      <c r="G661" s="2230" t="s">
        <v>4816</v>
      </c>
    </row>
    <row r="662" spans="1:7" ht="25.9" customHeight="1">
      <c r="A662" s="401">
        <v>659</v>
      </c>
      <c r="B662" s="2339" t="s">
        <v>4027</v>
      </c>
      <c r="D662" s="2343" t="str">
        <f t="shared" si="10"/>
        <v>Pas de rénovation des installations techniques</v>
      </c>
      <c r="E662" s="402" t="s">
        <v>4077</v>
      </c>
      <c r="F662" s="2338" t="s">
        <v>4884</v>
      </c>
      <c r="G662" s="2230" t="s">
        <v>4817</v>
      </c>
    </row>
    <row r="663" spans="1:7" ht="25.9" customHeight="1">
      <c r="A663" s="401">
        <v>660</v>
      </c>
      <c r="B663" s="2339" t="s">
        <v>4027</v>
      </c>
      <c r="D663" s="2343" t="str">
        <f t="shared" si="10"/>
        <v>Pas de rénovation</v>
      </c>
      <c r="E663" s="402" t="s">
        <v>4078</v>
      </c>
      <c r="F663" s="2338" t="s">
        <v>4885</v>
      </c>
      <c r="G663" s="2230" t="s">
        <v>4942</v>
      </c>
    </row>
    <row r="664" spans="1:7" ht="25.9" customHeight="1">
      <c r="A664" s="401">
        <v>661</v>
      </c>
      <c r="B664" s="2339" t="s">
        <v>4027</v>
      </c>
      <c r="D664" s="2343" t="str">
        <f t="shared" si="10"/>
        <v>Rénovation de l'enveloppe d'ampleur mineure</v>
      </c>
      <c r="E664" s="402" t="s">
        <v>4079</v>
      </c>
      <c r="F664" s="2338" t="s">
        <v>4886</v>
      </c>
      <c r="G664" s="2230" t="s">
        <v>4943</v>
      </c>
    </row>
    <row r="665" spans="1:7" ht="25.9" customHeight="1">
      <c r="A665" s="401">
        <v>662</v>
      </c>
      <c r="B665" s="2339" t="s">
        <v>4027</v>
      </c>
      <c r="D665" s="2343" t="str">
        <f t="shared" si="10"/>
        <v>Rénovation de l'enveloppe partielle</v>
      </c>
      <c r="E665" s="402" t="s">
        <v>4080</v>
      </c>
      <c r="F665" s="2338" t="s">
        <v>4887</v>
      </c>
      <c r="G665" s="2230" t="s">
        <v>4944</v>
      </c>
    </row>
    <row r="666" spans="1:7" ht="25.9" customHeight="1">
      <c r="A666" s="401">
        <v>663</v>
      </c>
      <c r="B666" s="2339" t="s">
        <v>4027</v>
      </c>
      <c r="D666" s="2343" t="str">
        <f t="shared" si="10"/>
        <v>Rénovation de l'enveloppe modérée</v>
      </c>
      <c r="E666" s="402" t="s">
        <v>4081</v>
      </c>
      <c r="F666" s="2338" t="s">
        <v>4888</v>
      </c>
      <c r="G666" s="2230" t="s">
        <v>4945</v>
      </c>
    </row>
    <row r="667" spans="1:7" ht="25.9" customHeight="1">
      <c r="A667" s="401">
        <v>664</v>
      </c>
      <c r="B667" s="2339" t="s">
        <v>4027</v>
      </c>
      <c r="D667" s="2343" t="str">
        <f t="shared" si="10"/>
        <v>Rénovation de l'enveloppe complète</v>
      </c>
      <c r="E667" s="402" t="s">
        <v>4082</v>
      </c>
      <c r="F667" s="2338" t="s">
        <v>4889</v>
      </c>
      <c r="G667" s="2230" t="s">
        <v>4946</v>
      </c>
    </row>
    <row r="668" spans="1:7" ht="25.9" customHeight="1">
      <c r="A668" s="401">
        <v>665</v>
      </c>
      <c r="B668" s="2339" t="s">
        <v>4027</v>
      </c>
      <c r="D668" s="2343" t="str">
        <f t="shared" si="10"/>
        <v>Rénovation superficielle d'ampleur mineure</v>
      </c>
      <c r="E668" s="402" t="s">
        <v>4083</v>
      </c>
      <c r="F668" s="2338" t="s">
        <v>4890</v>
      </c>
      <c r="G668" s="2230" t="s">
        <v>4947</v>
      </c>
    </row>
    <row r="669" spans="1:7" ht="25.9" customHeight="1">
      <c r="A669" s="401">
        <v>666</v>
      </c>
      <c r="B669" s="2339" t="s">
        <v>4027</v>
      </c>
      <c r="D669" s="2343" t="str">
        <f t="shared" ref="D669:D724" si="11">INDEX($E$4:$G$804,$A669,$A$1)</f>
        <v>Rénovation superficielle partielle</v>
      </c>
      <c r="E669" s="402" t="s">
        <v>4084</v>
      </c>
      <c r="F669" s="2338" t="s">
        <v>4891</v>
      </c>
      <c r="G669" s="2230" t="s">
        <v>4948</v>
      </c>
    </row>
    <row r="670" spans="1:7" ht="25.9" customHeight="1">
      <c r="A670" s="401">
        <v>667</v>
      </c>
      <c r="B670" s="2339" t="s">
        <v>4027</v>
      </c>
      <c r="D670" s="2343" t="str">
        <f t="shared" si="11"/>
        <v>Rénovation superficielle modérée</v>
      </c>
      <c r="E670" s="402" t="s">
        <v>4085</v>
      </c>
      <c r="F670" s="2338" t="s">
        <v>4892</v>
      </c>
      <c r="G670" s="2230" t="s">
        <v>4949</v>
      </c>
    </row>
    <row r="671" spans="1:7" ht="25.9" customHeight="1">
      <c r="A671" s="401">
        <v>668</v>
      </c>
      <c r="B671" s="2339" t="s">
        <v>4027</v>
      </c>
      <c r="D671" s="2343" t="str">
        <f t="shared" si="11"/>
        <v>Rénovation superficielle complète</v>
      </c>
      <c r="E671" s="402" t="s">
        <v>4086</v>
      </c>
      <c r="F671" s="2338" t="s">
        <v>4893</v>
      </c>
      <c r="G671" s="2230" t="s">
        <v>4950</v>
      </c>
    </row>
    <row r="672" spans="1:7" ht="25.9" customHeight="1">
      <c r="A672" s="401">
        <v>669</v>
      </c>
      <c r="B672" s="2339" t="s">
        <v>4027</v>
      </c>
      <c r="D672" s="2343" t="str">
        <f t="shared" si="11"/>
        <v>Rénovation thermique d'ampleur mineure</v>
      </c>
      <c r="E672" s="402" t="s">
        <v>4087</v>
      </c>
      <c r="F672" s="2338" t="s">
        <v>4894</v>
      </c>
      <c r="G672" s="2230" t="s">
        <v>4818</v>
      </c>
    </row>
    <row r="673" spans="1:7" ht="25.9" customHeight="1">
      <c r="A673" s="401">
        <v>670</v>
      </c>
      <c r="B673" s="2339" t="s">
        <v>4027</v>
      </c>
      <c r="D673" s="2343" t="str">
        <f t="shared" si="11"/>
        <v>Rénovation thermique partielle</v>
      </c>
      <c r="E673" s="402" t="s">
        <v>4088</v>
      </c>
      <c r="F673" s="2338" t="s">
        <v>4895</v>
      </c>
      <c r="G673" s="2230" t="s">
        <v>4819</v>
      </c>
    </row>
    <row r="674" spans="1:7" ht="25.9" customHeight="1">
      <c r="A674" s="401">
        <v>671</v>
      </c>
      <c r="B674" s="2339" t="s">
        <v>4027</v>
      </c>
      <c r="D674" s="2343" t="str">
        <f t="shared" si="11"/>
        <v>Rénovation thermique modérée</v>
      </c>
      <c r="E674" s="402" t="s">
        <v>4089</v>
      </c>
      <c r="F674" s="2338" t="s">
        <v>4896</v>
      </c>
      <c r="G674" s="2230" t="s">
        <v>4820</v>
      </c>
    </row>
    <row r="675" spans="1:7" ht="25.9" customHeight="1">
      <c r="A675" s="401">
        <v>672</v>
      </c>
      <c r="B675" s="2339" t="s">
        <v>4027</v>
      </c>
      <c r="D675" s="2343" t="str">
        <f t="shared" si="11"/>
        <v>Rénovation thermique complète</v>
      </c>
      <c r="E675" s="402" t="s">
        <v>4090</v>
      </c>
      <c r="F675" s="2338" t="s">
        <v>4897</v>
      </c>
      <c r="G675" s="2230" t="s">
        <v>4821</v>
      </c>
    </row>
    <row r="676" spans="1:7" ht="25.9" customHeight="1">
      <c r="A676" s="401">
        <v>673</v>
      </c>
      <c r="B676" s="2339" t="s">
        <v>4027</v>
      </c>
      <c r="D676" s="2343" t="str">
        <f t="shared" si="11"/>
        <v>Remplacement d'ampleur mineure d'éléments de construction</v>
      </c>
      <c r="E676" s="402" t="s">
        <v>4091</v>
      </c>
      <c r="F676" s="2338" t="s">
        <v>4898</v>
      </c>
      <c r="G676" s="2230" t="s">
        <v>4951</v>
      </c>
    </row>
    <row r="677" spans="1:7" ht="25.9" customHeight="1">
      <c r="A677" s="401">
        <v>674</v>
      </c>
      <c r="B677" s="2339" t="s">
        <v>4027</v>
      </c>
      <c r="D677" s="2343" t="str">
        <f t="shared" si="11"/>
        <v>Remplacement partiel d'éléments de construction</v>
      </c>
      <c r="E677" s="402" t="s">
        <v>4092</v>
      </c>
      <c r="F677" s="2338" t="s">
        <v>4899</v>
      </c>
      <c r="G677" s="2230" t="s">
        <v>4822</v>
      </c>
    </row>
    <row r="678" spans="1:7" ht="25.9" customHeight="1">
      <c r="A678" s="401">
        <v>675</v>
      </c>
      <c r="B678" s="2339" t="s">
        <v>4027</v>
      </c>
      <c r="D678" s="2343" t="str">
        <f t="shared" si="11"/>
        <v>Remplacement majoritaire d'éléments de construction</v>
      </c>
      <c r="E678" s="402" t="s">
        <v>4093</v>
      </c>
      <c r="F678" s="2338" t="s">
        <v>4900</v>
      </c>
      <c r="G678" s="2230" t="s">
        <v>4823</v>
      </c>
    </row>
    <row r="679" spans="1:7" ht="25.9" customHeight="1">
      <c r="A679" s="401">
        <v>676</v>
      </c>
      <c r="B679" s="2339" t="s">
        <v>4027</v>
      </c>
      <c r="D679" s="2343" t="str">
        <f t="shared" si="11"/>
        <v>Remplacement complet d'éléments de construction</v>
      </c>
      <c r="E679" s="402" t="s">
        <v>4094</v>
      </c>
      <c r="F679" s="2338" t="s">
        <v>4901</v>
      </c>
      <c r="G679" s="2230" t="s">
        <v>4824</v>
      </c>
    </row>
    <row r="680" spans="1:7" ht="25.9" customHeight="1">
      <c r="A680" s="401">
        <v>677</v>
      </c>
      <c r="B680" s="2339" t="s">
        <v>4027</v>
      </c>
      <c r="D680" s="2343" t="str">
        <f t="shared" si="11"/>
        <v>Valeur indidactive GES Construction</v>
      </c>
      <c r="E680" s="402" t="s">
        <v>4095</v>
      </c>
      <c r="F680" s="2338" t="s">
        <v>4902</v>
      </c>
      <c r="G680" s="2230" t="s">
        <v>4952</v>
      </c>
    </row>
    <row r="681" spans="1:7" ht="25.9" customHeight="1">
      <c r="A681" s="401">
        <v>678</v>
      </c>
      <c r="B681" s="2339" t="s">
        <v>4027</v>
      </c>
      <c r="C681" s="929" t="s">
        <v>487</v>
      </c>
      <c r="D681" s="2343" t="str">
        <f t="shared" si="11"/>
        <v>Visualisation des GES pendant la construction</v>
      </c>
      <c r="E681" s="402" t="s">
        <v>4096</v>
      </c>
      <c r="F681" s="2338" t="s">
        <v>4903</v>
      </c>
      <c r="G681" s="2230" t="s">
        <v>4825</v>
      </c>
    </row>
    <row r="682" spans="1:7" ht="25.9" customHeight="1">
      <c r="A682" s="401">
        <v>679</v>
      </c>
      <c r="B682" s="2339" t="s">
        <v>4027</v>
      </c>
      <c r="D682" s="2343" t="str">
        <f t="shared" si="11"/>
        <v>minimal</v>
      </c>
      <c r="E682" s="402" t="s">
        <v>4097</v>
      </c>
      <c r="F682" s="2338" t="s">
        <v>4097</v>
      </c>
      <c r="G682" s="2230" t="s">
        <v>4826</v>
      </c>
    </row>
    <row r="683" spans="1:7" ht="25.9" customHeight="1">
      <c r="A683" s="401">
        <v>680</v>
      </c>
      <c r="B683" s="2339" t="s">
        <v>4027</v>
      </c>
      <c r="D683" s="2343" t="str">
        <f t="shared" si="11"/>
        <v>Installations techniques incorporées</v>
      </c>
      <c r="E683" s="402" t="s">
        <v>4098</v>
      </c>
      <c r="F683" s="2338" t="s">
        <v>4904</v>
      </c>
      <c r="G683" s="2230" t="s">
        <v>4827</v>
      </c>
    </row>
    <row r="684" spans="1:7" ht="41.25" customHeight="1">
      <c r="A684" s="401">
        <v>681</v>
      </c>
      <c r="B684" s="929" t="s">
        <v>4027</v>
      </c>
      <c r="C684" s="929" t="s">
        <v>4637</v>
      </c>
      <c r="D684" s="2343" t="str">
        <f t="shared" si="11"/>
        <v>Surface de plancher SP : la surface de plancher totale du bâtiment selon SIA 416/1 doit être saisie. La SP doit être supérieure à la SRE.</v>
      </c>
      <c r="E684" s="402" t="s">
        <v>4922</v>
      </c>
      <c r="F684" s="2338" t="s">
        <v>4905</v>
      </c>
      <c r="G684" s="2230" t="s">
        <v>4828</v>
      </c>
    </row>
    <row r="685" spans="1:7" ht="36.75" customHeight="1">
      <c r="A685" s="401">
        <v>682</v>
      </c>
      <c r="B685" s="929" t="s">
        <v>4027</v>
      </c>
      <c r="C685" s="929" t="s">
        <v>4638</v>
      </c>
      <c r="D685" s="2343" t="str">
        <f t="shared" si="11"/>
        <v>Fouille:si différentes techniques sont utilisées, il faut choisir celle qui est utilisée sur la plus grande surface.</v>
      </c>
      <c r="E685" s="402" t="s">
        <v>4632</v>
      </c>
      <c r="F685" s="2338" t="s">
        <v>4906</v>
      </c>
      <c r="G685" s="2230" t="s">
        <v>4953</v>
      </c>
    </row>
    <row r="686" spans="1:7" ht="25.5" customHeight="1">
      <c r="A686" s="401">
        <v>683</v>
      </c>
      <c r="B686" s="929" t="s">
        <v>4027</v>
      </c>
      <c r="C686" s="929" t="s">
        <v>4639</v>
      </c>
      <c r="D686" s="2343" t="str">
        <f t="shared" si="11"/>
        <v>Fondations:s'il existe plusieurs types de fondations, il faut choisir celle représentant la plus grande surface.</v>
      </c>
      <c r="E686" s="402" t="s">
        <v>4633</v>
      </c>
      <c r="F686" s="2338" t="s">
        <v>4907</v>
      </c>
      <c r="G686" s="2230" t="s">
        <v>4954</v>
      </c>
    </row>
    <row r="687" spans="1:7" ht="39" customHeight="1">
      <c r="A687" s="401">
        <v>684</v>
      </c>
      <c r="B687" s="929" t="s">
        <v>4027</v>
      </c>
      <c r="C687" s="929" t="s">
        <v>4640</v>
      </c>
      <c r="D687" s="2343" t="str">
        <f t="shared" si="11"/>
        <v>Aménagement du sous-sol:La surface au sol du sous-sol est considérée par rapport à la surface au sol du bâtiment (voir SIA 416).</v>
      </c>
      <c r="E687" s="402" t="s">
        <v>4634</v>
      </c>
      <c r="F687" s="2338" t="s">
        <v>4908</v>
      </c>
      <c r="G687" s="2230" t="s">
        <v>4955</v>
      </c>
    </row>
    <row r="688" spans="1:7" ht="201.75" customHeight="1">
      <c r="A688" s="401">
        <v>685</v>
      </c>
      <c r="B688" s="929" t="s">
        <v>4027</v>
      </c>
      <c r="C688" s="929" t="s">
        <v>4641</v>
      </c>
      <c r="D688" s="2343" t="str">
        <f t="shared" si="11"/>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402" t="s">
        <v>4635</v>
      </c>
      <c r="F688" s="2338" t="s">
        <v>4909</v>
      </c>
      <c r="G688" s="2230" t="s">
        <v>4956</v>
      </c>
    </row>
    <row r="689" spans="1:7" ht="141" customHeight="1">
      <c r="A689" s="401">
        <v>686</v>
      </c>
      <c r="B689" s="929" t="s">
        <v>4027</v>
      </c>
      <c r="C689" s="929" t="s">
        <v>4642</v>
      </c>
      <c r="D689" s="2343" t="str">
        <f t="shared" si="11"/>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402" t="s">
        <v>4921</v>
      </c>
      <c r="F689" s="2338" t="s">
        <v>4910</v>
      </c>
      <c r="G689" s="2230" t="s">
        <v>4829</v>
      </c>
    </row>
    <row r="690" spans="1:7" ht="40.5" customHeight="1">
      <c r="A690" s="401">
        <v>687</v>
      </c>
      <c r="B690" s="929" t="s">
        <v>4027</v>
      </c>
      <c r="C690" s="929" t="s">
        <v>4643</v>
      </c>
      <c r="D690" s="2343" t="str">
        <f t="shared" si="11"/>
        <v>Proportion de fenêtres :
Proportion de fenêtres par rapport à la surface de la façade ; peut être tirée du calcul SIA380/1".</v>
      </c>
      <c r="E690" s="402" t="s">
        <v>4636</v>
      </c>
      <c r="F690" s="2338" t="s">
        <v>4911</v>
      </c>
      <c r="G690" s="2230" t="s">
        <v>4830</v>
      </c>
    </row>
    <row r="691" spans="1:7" ht="49.5" customHeight="1">
      <c r="A691" s="401">
        <v>688</v>
      </c>
      <c r="B691" s="929" t="s">
        <v>4027</v>
      </c>
      <c r="C691" s="929" t="s">
        <v>4644</v>
      </c>
      <c r="D691" s="2343" t="str">
        <f t="shared" si="11"/>
        <v>Épaisseur des dalles :
Si de grands (par ex. des conduites d'aération) ou de très nombreux incorporés sont prévus, il convient de sélectionner ici "installations techniques incorporées"</v>
      </c>
      <c r="E691" s="402" t="s">
        <v>4920</v>
      </c>
      <c r="F691" s="2338" t="s">
        <v>4963</v>
      </c>
      <c r="G691" s="2230" t="s">
        <v>4957</v>
      </c>
    </row>
    <row r="692" spans="1:7" ht="36.75" customHeight="1">
      <c r="A692" s="401">
        <v>689</v>
      </c>
      <c r="B692" s="929" t="s">
        <v>4027</v>
      </c>
      <c r="C692" s="929" t="s">
        <v>4645</v>
      </c>
      <c r="D692" s="2343" t="str">
        <f t="shared" si="11"/>
        <v>Béton enrichi en CO2 :
Si au moins 80 % de tous les éléments en béton pour lesquels cela est possible sont constitués de béton enrichi en CO2, "oui" peut être sélectionné ici.</v>
      </c>
      <c r="E692" s="402" t="s">
        <v>4646</v>
      </c>
      <c r="F692" s="2338" t="s">
        <v>4912</v>
      </c>
      <c r="G692" s="2230" t="s">
        <v>4831</v>
      </c>
    </row>
    <row r="693" spans="1:7" ht="25.9" customHeight="1">
      <c r="A693" s="2335">
        <v>690</v>
      </c>
      <c r="B693" s="929" t="s">
        <v>1799</v>
      </c>
      <c r="C693" s="929" t="s">
        <v>513</v>
      </c>
      <c r="D693" s="2343" t="str">
        <f t="shared" si="11"/>
        <v>Emission de GES pendant l'exploitatio en CO2/m2 (Scope 1)</v>
      </c>
      <c r="E693" s="402" t="s">
        <v>4728</v>
      </c>
      <c r="F693" s="2338" t="s">
        <v>4913</v>
      </c>
      <c r="G693" s="2230" t="s">
        <v>4958</v>
      </c>
    </row>
    <row r="694" spans="1:7" ht="25.9" customHeight="1">
      <c r="A694" s="2335">
        <v>691</v>
      </c>
      <c r="B694" s="2339" t="s">
        <v>1799</v>
      </c>
      <c r="C694" s="929" t="s">
        <v>868</v>
      </c>
      <c r="D694" s="2343" t="str">
        <f t="shared" si="11"/>
        <v>(exploitation du bâtiment)</v>
      </c>
      <c r="E694" s="402" t="s">
        <v>4726</v>
      </c>
      <c r="F694" s="2338" t="s">
        <v>4727</v>
      </c>
      <c r="G694" s="2230" t="s">
        <v>4979</v>
      </c>
    </row>
    <row r="695" spans="1:7" ht="25.9" customHeight="1">
      <c r="A695" s="2335">
        <v>692</v>
      </c>
      <c r="B695" s="929" t="s">
        <v>622</v>
      </c>
      <c r="C695" s="929" t="s">
        <v>4748</v>
      </c>
      <c r="D695" s="2343" t="str">
        <f t="shared" si="11"/>
        <v>Longueur totale de toutes les sondes [m]</v>
      </c>
      <c r="E695" s="402" t="s">
        <v>4733</v>
      </c>
      <c r="F695" s="2338" t="s">
        <v>4741</v>
      </c>
      <c r="G695" s="2230" t="s">
        <v>4742</v>
      </c>
    </row>
    <row r="696" spans="1:7" ht="25.9" customHeight="1">
      <c r="A696" s="2335">
        <v>693</v>
      </c>
      <c r="B696" s="929" t="s">
        <v>1799</v>
      </c>
      <c r="C696" s="929" t="s">
        <v>4755</v>
      </c>
      <c r="D696" s="2343" t="str">
        <f t="shared" si="11"/>
        <v>(Construction)</v>
      </c>
      <c r="E696" s="402" t="s">
        <v>4747</v>
      </c>
      <c r="F696" s="2338" t="s">
        <v>4914</v>
      </c>
      <c r="G696" s="2230" t="s">
        <v>4832</v>
      </c>
    </row>
    <row r="697" spans="1:7" ht="25.9" customHeight="1">
      <c r="A697" s="2335">
        <v>694</v>
      </c>
      <c r="B697" s="929" t="s">
        <v>1799</v>
      </c>
      <c r="C697" s="929" t="s">
        <v>880</v>
      </c>
      <c r="D697" s="2343" t="str">
        <f t="shared" si="11"/>
        <v>Gaz à effet de serre GES en kg CO2/m2</v>
      </c>
      <c r="E697" s="402" t="s">
        <v>4749</v>
      </c>
      <c r="F697" s="2338" t="s">
        <v>4915</v>
      </c>
      <c r="G697" s="2230" t="s">
        <v>4833</v>
      </c>
    </row>
    <row r="698" spans="1:7" ht="25.9" customHeight="1">
      <c r="A698" s="2335">
        <v>695</v>
      </c>
      <c r="B698" s="2339" t="s">
        <v>1799</v>
      </c>
      <c r="C698" s="929" t="s">
        <v>1770</v>
      </c>
      <c r="D698" s="2343" t="str">
        <f t="shared" si="11"/>
        <v>Carbone stocké en kg</v>
      </c>
      <c r="E698" s="402" t="s">
        <v>4750</v>
      </c>
      <c r="F698" s="2338" t="s">
        <v>4916</v>
      </c>
      <c r="G698" s="2230" t="s">
        <v>4834</v>
      </c>
    </row>
    <row r="699" spans="1:7" ht="25.9" customHeight="1">
      <c r="A699" s="2335">
        <v>696</v>
      </c>
      <c r="B699" s="2339" t="s">
        <v>4027</v>
      </c>
      <c r="C699" s="929" t="s">
        <v>4924</v>
      </c>
      <c r="D699" s="2343" t="str">
        <f t="shared" si="11"/>
        <v>SP</v>
      </c>
      <c r="E699" s="402" t="s">
        <v>4600</v>
      </c>
      <c r="F699" s="2338" t="s">
        <v>4923</v>
      </c>
      <c r="G699" s="403" t="s">
        <v>4923</v>
      </c>
    </row>
    <row r="700" spans="1:7" ht="25.9" customHeight="1">
      <c r="A700" s="2335">
        <v>697</v>
      </c>
      <c r="B700" s="2339" t="s">
        <v>1799</v>
      </c>
      <c r="C700" s="929" t="s">
        <v>705</v>
      </c>
      <c r="D700" s="2343" t="str">
        <f t="shared" si="11"/>
        <v>Autres indicateurs</v>
      </c>
      <c r="E700" s="402" t="s">
        <v>4744</v>
      </c>
      <c r="F700" s="2338" t="s">
        <v>4926</v>
      </c>
      <c r="G700" s="403" t="s">
        <v>4925</v>
      </c>
    </row>
    <row r="701" spans="1:7" ht="25.9" customHeight="1">
      <c r="A701" s="2335">
        <v>698</v>
      </c>
      <c r="B701" s="2339" t="s">
        <v>53</v>
      </c>
      <c r="C701" s="2339" t="s">
        <v>5019</v>
      </c>
      <c r="D701" s="2343" t="str">
        <f t="shared" si="11"/>
        <v xml:space="preserve">Besoins / Production PV [kWh] </v>
      </c>
      <c r="E701" s="402" t="s">
        <v>5022</v>
      </c>
      <c r="F701" s="2338" t="s">
        <v>5020</v>
      </c>
      <c r="G701" s="403" t="s">
        <v>5021</v>
      </c>
    </row>
    <row r="702" spans="1:7" ht="25.9" customHeight="1">
      <c r="A702" s="2335">
        <v>699</v>
      </c>
      <c r="B702" s="2339" t="s">
        <v>622</v>
      </c>
      <c r="C702" s="2339" t="s">
        <v>5027</v>
      </c>
      <c r="D702" s="2343" t="str">
        <f t="shared" si="11"/>
        <v>Loi sur l'énergie bernoise 2023</v>
      </c>
      <c r="E702" s="402" t="s">
        <v>5041</v>
      </c>
      <c r="F702" s="2338" t="s">
        <v>5118</v>
      </c>
      <c r="G702" s="403" t="s">
        <v>5133</v>
      </c>
    </row>
    <row r="703" spans="1:7" ht="25.9" customHeight="1">
      <c r="A703" s="401">
        <v>700</v>
      </c>
      <c r="B703" s="2339" t="s">
        <v>5099</v>
      </c>
      <c r="C703" s="2339" t="s">
        <v>5100</v>
      </c>
      <c r="D703" s="2343" t="str">
        <f t="shared" si="11"/>
        <v>Efficacité énergétique globale pondérée EEGp</v>
      </c>
      <c r="E703" s="402" t="s">
        <v>5042</v>
      </c>
      <c r="F703" s="2338" t="s">
        <v>5119</v>
      </c>
      <c r="G703" s="403" t="s">
        <v>5131</v>
      </c>
    </row>
    <row r="704" spans="1:7" ht="25.9" customHeight="1">
      <c r="A704" s="401">
        <v>701</v>
      </c>
      <c r="B704" s="929" t="s">
        <v>53</v>
      </c>
      <c r="C704" s="929" t="s">
        <v>5031</v>
      </c>
      <c r="D704" s="2343" t="str">
        <f t="shared" si="11"/>
        <v>Puissance par m2 SRE Nouvelle construction  [kWh/m2]</v>
      </c>
      <c r="E704" s="402" t="s">
        <v>5049</v>
      </c>
      <c r="F704" s="2338" t="s">
        <v>5120</v>
      </c>
      <c r="G704" s="403" t="s">
        <v>5132</v>
      </c>
    </row>
    <row r="705" spans="1:7" ht="25.9" customHeight="1">
      <c r="A705" s="2335">
        <v>702</v>
      </c>
      <c r="B705" s="2339" t="s">
        <v>53</v>
      </c>
      <c r="C705" s="2339" t="s">
        <v>5062</v>
      </c>
      <c r="D705" s="2343" t="str">
        <f t="shared" si="11"/>
        <v>Contrôle du justificatif:</v>
      </c>
      <c r="E705" s="402" t="s">
        <v>5059</v>
      </c>
      <c r="F705" s="2338" t="s">
        <v>5060</v>
      </c>
      <c r="G705" s="403" t="s">
        <v>5061</v>
      </c>
    </row>
    <row r="706" spans="1:7" ht="25.9" customHeight="1">
      <c r="A706" s="2335">
        <v>703</v>
      </c>
      <c r="B706" s="2339" t="s">
        <v>53</v>
      </c>
      <c r="C706" s="2339" t="s">
        <v>946</v>
      </c>
      <c r="D706" s="2343" t="str">
        <f t="shared" si="11"/>
        <v>Remarques:</v>
      </c>
      <c r="E706" s="402" t="s">
        <v>5063</v>
      </c>
      <c r="F706" s="2338" t="s">
        <v>5064</v>
      </c>
      <c r="G706" s="403" t="s">
        <v>5065</v>
      </c>
    </row>
    <row r="707" spans="1:7" ht="25.9" customHeight="1">
      <c r="A707" s="2335">
        <v>704</v>
      </c>
      <c r="B707" s="2339" t="s">
        <v>5066</v>
      </c>
      <c r="C707" s="2339" t="s">
        <v>1908</v>
      </c>
      <c r="D707" s="2343" t="str">
        <f t="shared" si="11"/>
        <v>EEGp</v>
      </c>
      <c r="E707" s="402" t="s">
        <v>5067</v>
      </c>
      <c r="F707" s="2338" t="s">
        <v>5121</v>
      </c>
      <c r="G707" s="403" t="s">
        <v>5067</v>
      </c>
    </row>
    <row r="708" spans="1:7" ht="25.9" customHeight="1">
      <c r="A708" s="2335">
        <v>705</v>
      </c>
      <c r="B708" s="2339" t="s">
        <v>5066</v>
      </c>
      <c r="C708" s="2339" t="s">
        <v>872</v>
      </c>
      <c r="D708" s="2343" t="str">
        <f t="shared" si="11"/>
        <v xml:space="preserve">Visualisation </v>
      </c>
      <c r="E708" s="402" t="s">
        <v>5068</v>
      </c>
      <c r="F708" s="2338" t="s">
        <v>5069</v>
      </c>
      <c r="G708" s="403" t="s">
        <v>5070</v>
      </c>
    </row>
    <row r="709" spans="1:7" ht="25.9" customHeight="1">
      <c r="A709" s="2335">
        <v>706</v>
      </c>
      <c r="B709" s="2339" t="s">
        <v>5066</v>
      </c>
      <c r="C709" s="2339" t="s">
        <v>866</v>
      </c>
      <c r="D709" s="2343" t="str">
        <f t="shared" si="11"/>
        <v>Exigence satisfaite</v>
      </c>
      <c r="E709" s="402" t="s">
        <v>5071</v>
      </c>
      <c r="F709" s="2338" t="s">
        <v>5122</v>
      </c>
      <c r="G709" s="403" t="s">
        <v>5072</v>
      </c>
    </row>
    <row r="710" spans="1:7" ht="25.9" customHeight="1">
      <c r="A710" s="2335">
        <v>707</v>
      </c>
      <c r="B710" s="2339" t="s">
        <v>1749</v>
      </c>
      <c r="C710" s="2339" t="s">
        <v>1751</v>
      </c>
      <c r="D710" s="2343" t="str">
        <f t="shared" si="11"/>
        <v>Protection thermique estivale
(entrée facultative)</v>
      </c>
      <c r="E710" s="402" t="s">
        <v>5166</v>
      </c>
      <c r="F710" s="2338" t="s">
        <v>5167</v>
      </c>
      <c r="G710" s="403" t="s">
        <v>5073</v>
      </c>
    </row>
    <row r="711" spans="1:7" ht="25.9" customHeight="1">
      <c r="A711" s="2335">
        <v>708</v>
      </c>
      <c r="B711" s="2339" t="s">
        <v>5066</v>
      </c>
      <c r="C711" s="929" t="s">
        <v>5080</v>
      </c>
      <c r="D711" s="2343" t="str">
        <f t="shared" si="11"/>
        <v>EEGp,ch: indice partiel chauffage</v>
      </c>
      <c r="E711" s="402" t="s">
        <v>5079</v>
      </c>
      <c r="F711" s="2338" t="s">
        <v>5123</v>
      </c>
      <c r="G711" s="403" t="s">
        <v>5078</v>
      </c>
    </row>
    <row r="712" spans="1:7" ht="25.9" customHeight="1">
      <c r="A712" s="2335">
        <v>709</v>
      </c>
      <c r="B712" s="2339" t="s">
        <v>5066</v>
      </c>
      <c r="C712" s="2339" t="s">
        <v>5083</v>
      </c>
      <c r="D712" s="2343" t="str">
        <f t="shared" si="11"/>
        <v>EEGp,ecs : indice partiel eau chaude sanitaire</v>
      </c>
      <c r="E712" s="402" t="s">
        <v>5082</v>
      </c>
      <c r="F712" s="2338" t="s">
        <v>5124</v>
      </c>
      <c r="G712" s="403" t="s">
        <v>5081</v>
      </c>
    </row>
    <row r="713" spans="1:7" ht="25.9" customHeight="1">
      <c r="A713" s="2335">
        <v>710</v>
      </c>
      <c r="B713" s="2339" t="s">
        <v>5066</v>
      </c>
      <c r="C713" s="2339" t="s">
        <v>5086</v>
      </c>
      <c r="D713" s="2343" t="str">
        <f t="shared" si="11"/>
        <v>EEGp,vc: indice partiel aération et climat</v>
      </c>
      <c r="E713" s="402" t="s">
        <v>5085</v>
      </c>
      <c r="F713" s="2338" t="s">
        <v>5125</v>
      </c>
      <c r="G713" s="403" t="s">
        <v>5084</v>
      </c>
    </row>
    <row r="714" spans="1:7" ht="25.9" customHeight="1">
      <c r="A714" s="2335">
        <v>711</v>
      </c>
      <c r="B714" s="2339" t="s">
        <v>5066</v>
      </c>
      <c r="C714" s="2339" t="s">
        <v>5089</v>
      </c>
      <c r="D714" s="2343" t="str">
        <f t="shared" si="11"/>
        <v>EEGp,el,hab: indice partiel électricité bâtiments d'habitation</v>
      </c>
      <c r="E714" s="402" t="s">
        <v>5088</v>
      </c>
      <c r="F714" s="2338" t="s">
        <v>5126</v>
      </c>
      <c r="G714" s="403" t="s">
        <v>5087</v>
      </c>
    </row>
    <row r="715" spans="1:7" ht="25.9" customHeight="1">
      <c r="A715" s="2335">
        <v>712</v>
      </c>
      <c r="B715" s="2339" t="s">
        <v>5066</v>
      </c>
      <c r="C715" s="2339" t="s">
        <v>5090</v>
      </c>
      <c r="D715" s="2343" t="str">
        <f t="shared" si="11"/>
        <v>EEGp,ecl: indice partiel éclairage</v>
      </c>
      <c r="E715" s="402" t="s">
        <v>5094</v>
      </c>
      <c r="F715" s="2338" t="s">
        <v>5127</v>
      </c>
      <c r="G715" s="403" t="s">
        <v>5093</v>
      </c>
    </row>
    <row r="716" spans="1:7" ht="25.9" customHeight="1">
      <c r="A716" s="2335">
        <v>713</v>
      </c>
      <c r="B716" s="2339" t="s">
        <v>5066</v>
      </c>
      <c r="C716" s="2339" t="s">
        <v>5091</v>
      </c>
      <c r="D716" s="2343" t="str">
        <f t="shared" si="11"/>
        <v>EEGp,app:  indice partiel appareils</v>
      </c>
      <c r="E716" s="402" t="s">
        <v>5096</v>
      </c>
      <c r="F716" s="2338" t="s">
        <v>5128</v>
      </c>
      <c r="G716" s="403" t="s">
        <v>5095</v>
      </c>
    </row>
    <row r="717" spans="1:7" ht="25.9" customHeight="1">
      <c r="A717" s="2335">
        <v>714</v>
      </c>
      <c r="B717" s="2339" t="s">
        <v>5066</v>
      </c>
      <c r="C717" s="2339" t="s">
        <v>5092</v>
      </c>
      <c r="D717" s="2343" t="str">
        <f t="shared" si="11"/>
        <v>EEGp,inst:  indice partiel installations techniques</v>
      </c>
      <c r="E717" s="402" t="s">
        <v>5098</v>
      </c>
      <c r="F717" s="2338" t="s">
        <v>5129</v>
      </c>
      <c r="G717" s="403" t="s">
        <v>5097</v>
      </c>
    </row>
    <row r="718" spans="1:7" ht="25.9" customHeight="1">
      <c r="A718" s="2335">
        <v>715</v>
      </c>
      <c r="B718" s="2339" t="s">
        <v>5066</v>
      </c>
      <c r="C718" s="2339" t="s">
        <v>1797</v>
      </c>
      <c r="D718" s="2343" t="str">
        <f t="shared" si="11"/>
        <v>Efficacité énergétique globale pondérée EEGp</v>
      </c>
      <c r="E718" s="402" t="s">
        <v>5101</v>
      </c>
      <c r="F718" s="2338" t="s">
        <v>5119</v>
      </c>
      <c r="G718" s="403" t="s">
        <v>5131</v>
      </c>
    </row>
    <row r="719" spans="1:7" ht="25.9" customHeight="1">
      <c r="A719" s="2335">
        <v>716</v>
      </c>
      <c r="D719" s="2343" t="str">
        <f t="shared" si="11"/>
        <v>Carbone  [kg C/m2]</v>
      </c>
      <c r="E719" s="402" t="s">
        <v>5116</v>
      </c>
      <c r="F719" s="2338" t="s">
        <v>5130</v>
      </c>
      <c r="G719" s="403" t="s">
        <v>5117</v>
      </c>
    </row>
    <row r="720" spans="1:7" ht="25.9" customHeight="1">
      <c r="A720" s="401">
        <v>717</v>
      </c>
      <c r="B720" s="2339" t="s">
        <v>5066</v>
      </c>
      <c r="D720" s="899" t="str">
        <f t="shared" si="11"/>
        <v xml:space="preserve"> Production d'électricité</v>
      </c>
      <c r="E720" s="402" t="s">
        <v>5142</v>
      </c>
      <c r="F720" s="1394" t="s">
        <v>5143</v>
      </c>
      <c r="G720" s="1393" t="s">
        <v>2900</v>
      </c>
    </row>
    <row r="721" spans="1:7" ht="36" customHeight="1">
      <c r="A721" s="2335">
        <v>718</v>
      </c>
      <c r="B721" s="2339" t="s">
        <v>5066</v>
      </c>
      <c r="C721" s="2339"/>
      <c r="D721" s="899" t="str">
        <f t="shared" si="11"/>
        <v>Électricité non pris en compte</v>
      </c>
      <c r="E721" s="429" t="s">
        <v>5144</v>
      </c>
      <c r="F721" s="1394" t="s">
        <v>5145</v>
      </c>
      <c r="G721" s="1393" t="s">
        <v>2790</v>
      </c>
    </row>
    <row r="722" spans="1:7" ht="25.9" customHeight="1">
      <c r="A722" s="2335">
        <v>719</v>
      </c>
      <c r="B722" s="2339" t="s">
        <v>5066</v>
      </c>
      <c r="D722" s="899" t="str">
        <f t="shared" si="11"/>
        <v>Électricité autoconsommation</v>
      </c>
      <c r="E722" s="402" t="s">
        <v>5146</v>
      </c>
      <c r="F722" s="1394" t="s">
        <v>5148</v>
      </c>
      <c r="G722" s="403" t="s">
        <v>2394</v>
      </c>
    </row>
    <row r="723" spans="1:7" ht="25.9" customHeight="1">
      <c r="A723" s="2335">
        <v>720</v>
      </c>
      <c r="B723" s="2339" t="s">
        <v>5066</v>
      </c>
      <c r="D723" s="899" t="str">
        <f t="shared" si="11"/>
        <v>Électricité part injectée</v>
      </c>
      <c r="E723" s="402" t="s">
        <v>5147</v>
      </c>
      <c r="F723" s="1394" t="s">
        <v>5149</v>
      </c>
      <c r="G723" s="403" t="s">
        <v>2395</v>
      </c>
    </row>
    <row r="724" spans="1:7" ht="25.9" customHeight="1">
      <c r="A724" s="2335">
        <v>721</v>
      </c>
      <c r="B724" s="2339" t="s">
        <v>706</v>
      </c>
      <c r="C724" s="2339" t="s">
        <v>943</v>
      </c>
      <c r="D724" s="899" t="str">
        <f t="shared" si="11"/>
        <v>Eau chaude avec min. 50% d'énergie renouvelable (Catégorie d'ouvrage I, II, IV, VI, VIII, XI, XII) ?</v>
      </c>
      <c r="E724" s="402" t="s">
        <v>5178</v>
      </c>
      <c r="F724" s="2338" t="s">
        <v>5179</v>
      </c>
      <c r="G724" s="403" t="s">
        <v>5180</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Entrées</vt:lpstr>
      <vt:lpstr>MINERGIE</vt:lpstr>
      <vt:lpstr>Justificatif</vt:lpstr>
      <vt:lpstr>Eté</vt:lpstr>
      <vt:lpstr>Aperçu</vt:lpstr>
      <vt:lpstr>MOP</vt:lpstr>
      <vt:lpstr>Aperçu_BE</vt:lpstr>
      <vt:lpstr>Standardwerte</vt:lpstr>
      <vt:lpstr>Uebersetzung</vt:lpstr>
      <vt:lpstr>PVopti</vt:lpstr>
      <vt:lpstr>Log</vt:lpstr>
      <vt:lpstr>Construction</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Aperçu_BE!Druckbereich</vt:lpstr>
      <vt:lpstr>Construction!Druckbereich</vt:lpstr>
      <vt:lpstr>Entrées!Druckbereich</vt:lpstr>
      <vt:lpstr>Eté!Druckbereich</vt:lpstr>
      <vt:lpstr>Justificatif!Druckbereich</vt:lpstr>
      <vt:lpstr>MINERGIE!Druckbereich</vt:lpstr>
      <vt:lpstr>Standardwerte!Druckbereich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2025-05-27T13:31:59Z</dcterms:modified>
  <cp:category>Energienachweis MUKEN 2014 / MINERGIE-Nachweis 2022 / Berner Energiegesetz 2023</cp:category>
</cp:coreProperties>
</file>